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EstaPasta_de_trabalho"/>
  <bookViews>
    <workbookView xWindow="0" yWindow="0" windowWidth="28800" windowHeight="12435" tabRatio="957" activeTab="10"/>
  </bookViews>
  <sheets>
    <sheet name="PROPOSTA " sheetId="27" r:id="rId1"/>
    <sheet name="LOTE" sheetId="26" r:id="rId2"/>
    <sheet name="RESUMO VLR FINAL" sheetId="25" r:id="rId3"/>
    <sheet name="ENTRADA DE DADOS" sheetId="30" r:id="rId4"/>
    <sheet name="MO - Operador de roçadeira" sheetId="31" r:id="rId5"/>
    <sheet name="MO - Coletor de resíduos" sheetId="32" r:id="rId6"/>
    <sheet name="MO - Motorista" sheetId="33" r:id="rId7"/>
    <sheet name="Uniformes e EPIs" sheetId="4" r:id="rId8"/>
    <sheet name="Equipamentos" sheetId="12" r:id="rId9"/>
    <sheet name="Insumos" sheetId="14" r:id="rId10"/>
    <sheet name="Veículo" sheetId="13" r:id="rId11"/>
  </sheets>
  <definedNames>
    <definedName name="_xlnm.Print_Area" localSheetId="1">LOTE!$A$2:$I$7</definedName>
    <definedName name="_xlnm.Print_Area" localSheetId="0">'PROPOSTA '!$A$1:$D$16</definedName>
    <definedName name="_xlnm.Print_Area" localSheetId="2">'RESUMO VLR FINAL'!$A$1:$K$59</definedName>
    <definedName name="_xlnm.Print_Area" localSheetId="7">'Uniformes e EPIs'!$B$1:$K$63</definedName>
  </definedNames>
  <calcPr calcId="152511"/>
</workbook>
</file>

<file path=xl/calcChain.xml><?xml version="1.0" encoding="utf-8"?>
<calcChain xmlns="http://schemas.openxmlformats.org/spreadsheetml/2006/main">
  <c r="B37" i="30" l="1"/>
  <c r="C21" i="30"/>
  <c r="C165" i="30" l="1"/>
  <c r="C164" i="30"/>
  <c r="C163" i="30"/>
  <c r="C162" i="30"/>
  <c r="C55" i="30"/>
  <c r="C49" i="30"/>
  <c r="I51" i="25"/>
  <c r="D22" i="31"/>
  <c r="D22" i="32" s="1"/>
  <c r="D22" i="33" s="1"/>
  <c r="D20" i="4" s="1"/>
  <c r="F21" i="12" s="1"/>
  <c r="E26" i="12" s="1"/>
  <c r="I54" i="25"/>
  <c r="I53" i="25"/>
  <c r="B161" i="30"/>
  <c r="I52" i="25"/>
  <c r="B51" i="30"/>
  <c r="D35" i="33" s="1"/>
  <c r="B48" i="30"/>
  <c r="B58" i="30"/>
  <c r="B57" i="30"/>
  <c r="B56" i="30"/>
  <c r="D40" i="32" s="1"/>
  <c r="B54" i="30"/>
  <c r="D38" i="33" s="1"/>
  <c r="B53" i="30"/>
  <c r="D37" i="33" s="1"/>
  <c r="B52" i="30"/>
  <c r="D36" i="32" s="1"/>
  <c r="B50" i="30"/>
  <c r="D34" i="33" s="1"/>
  <c r="B49" i="30"/>
  <c r="D33" i="31" s="1"/>
  <c r="D2" i="30"/>
  <c r="D37" i="31" l="1"/>
  <c r="B55" i="30"/>
  <c r="D39" i="32" s="1"/>
  <c r="D37" i="32"/>
  <c r="D34" i="31"/>
  <c r="D34" i="32"/>
  <c r="D24" i="31"/>
  <c r="D33" i="33"/>
  <c r="I50" i="25"/>
  <c r="D33" i="32"/>
  <c r="D38" i="31"/>
  <c r="D36" i="33"/>
  <c r="D40" i="33"/>
  <c r="D38" i="32"/>
  <c r="D36" i="31"/>
  <c r="D40" i="31"/>
  <c r="D35" i="31"/>
  <c r="D35" i="32"/>
  <c r="D39" i="31" l="1"/>
  <c r="D39" i="33"/>
  <c r="D76" i="30" l="1"/>
  <c r="D75" i="30"/>
  <c r="F75" i="30" l="1"/>
  <c r="H75" i="30" s="1"/>
  <c r="D52" i="31"/>
  <c r="D52" i="32"/>
  <c r="D52" i="33"/>
  <c r="D55" i="33"/>
  <c r="D55" i="31"/>
  <c r="D55" i="32"/>
  <c r="F76" i="30"/>
  <c r="H76" i="30" s="1"/>
  <c r="D53" i="33" l="1"/>
  <c r="D53" i="32"/>
  <c r="D53" i="31"/>
  <c r="B24" i="30"/>
  <c r="J20" i="4"/>
  <c r="E13" i="14" s="1"/>
  <c r="C56" i="13" s="1"/>
  <c r="B17" i="33"/>
  <c r="B17" i="32"/>
  <c r="B17" i="31"/>
  <c r="I33" i="4"/>
  <c r="C101" i="30" l="1"/>
  <c r="A17" i="12" l="1"/>
  <c r="B17" i="12"/>
  <c r="C17" i="12"/>
  <c r="D17" i="12"/>
  <c r="E17" i="12"/>
  <c r="A18" i="12"/>
  <c r="B18" i="12"/>
  <c r="C18" i="12"/>
  <c r="G18" i="12" s="1"/>
  <c r="D18" i="12"/>
  <c r="E18" i="12"/>
  <c r="A19" i="12"/>
  <c r="B19" i="12"/>
  <c r="C19" i="12"/>
  <c r="G19" i="12" s="1"/>
  <c r="D19" i="12"/>
  <c r="E19" i="12"/>
  <c r="A8" i="14"/>
  <c r="B8" i="14"/>
  <c r="C8" i="14"/>
  <c r="D8" i="14"/>
  <c r="A9" i="14"/>
  <c r="B9" i="14"/>
  <c r="C9" i="14"/>
  <c r="D9" i="14"/>
  <c r="A10" i="14"/>
  <c r="B10" i="14"/>
  <c r="C10" i="14"/>
  <c r="D10" i="14"/>
  <c r="F18" i="12" l="1"/>
  <c r="E8" i="14"/>
  <c r="F8" i="14" s="1"/>
  <c r="F19" i="12"/>
  <c r="F17" i="12"/>
  <c r="G17" i="12" s="1"/>
  <c r="E9" i="14"/>
  <c r="F9" i="14" s="1"/>
  <c r="E10" i="14"/>
  <c r="F10" i="14" s="1"/>
  <c r="E17" i="33"/>
  <c r="E17" i="32"/>
  <c r="E17" i="31"/>
  <c r="D102" i="30" l="1"/>
  <c r="K66" i="30" l="1"/>
  <c r="L66" i="30" s="1"/>
  <c r="D38" i="30" l="1"/>
  <c r="C38" i="30"/>
  <c r="B38" i="30"/>
  <c r="C24" i="30" l="1"/>
  <c r="D24" i="30"/>
  <c r="C29" i="30"/>
  <c r="D29" i="30" s="1"/>
  <c r="C30" i="30"/>
  <c r="D30" i="30" s="1"/>
  <c r="C33" i="30"/>
  <c r="D33" i="30" s="1"/>
  <c r="C36" i="30"/>
  <c r="D36" i="30" s="1"/>
  <c r="C37" i="30"/>
  <c r="D37" i="30" s="1"/>
  <c r="C39" i="30"/>
  <c r="D39" i="30" s="1"/>
  <c r="C43" i="30"/>
  <c r="D43" i="30" s="1"/>
  <c r="C44" i="30"/>
  <c r="D44" i="30" s="1"/>
  <c r="C45" i="30"/>
  <c r="D45" i="30" s="1"/>
  <c r="G8" i="14" l="1"/>
  <c r="G9" i="14"/>
  <c r="G10" i="14"/>
  <c r="I59" i="4" l="1"/>
  <c r="J59" i="4" s="1"/>
  <c r="H59" i="4"/>
  <c r="G59" i="4"/>
  <c r="I58" i="4"/>
  <c r="J58" i="4" s="1"/>
  <c r="H58" i="4"/>
  <c r="G58" i="4"/>
  <c r="I57" i="4"/>
  <c r="J57" i="4" s="1"/>
  <c r="H57" i="4"/>
  <c r="K57" i="4" s="1"/>
  <c r="G57" i="4"/>
  <c r="I56" i="4"/>
  <c r="J56" i="4" s="1"/>
  <c r="H56" i="4"/>
  <c r="G56" i="4"/>
  <c r="I55" i="4"/>
  <c r="J55" i="4" s="1"/>
  <c r="H55" i="4"/>
  <c r="G55" i="4"/>
  <c r="I54" i="4"/>
  <c r="J54" i="4" s="1"/>
  <c r="H54" i="4"/>
  <c r="G54" i="4"/>
  <c r="I53" i="4"/>
  <c r="J53" i="4" s="1"/>
  <c r="H53" i="4"/>
  <c r="G53" i="4"/>
  <c r="I52" i="4"/>
  <c r="J52" i="4" s="1"/>
  <c r="H52" i="4"/>
  <c r="G52" i="4"/>
  <c r="C52" i="4"/>
  <c r="D52" i="4" s="1"/>
  <c r="B52" i="4"/>
  <c r="E52" i="4" s="1"/>
  <c r="I51" i="4"/>
  <c r="J51" i="4" s="1"/>
  <c r="H51" i="4"/>
  <c r="G51" i="4"/>
  <c r="C51" i="4"/>
  <c r="D51" i="4" s="1"/>
  <c r="B51" i="4"/>
  <c r="E51" i="4" s="1"/>
  <c r="I50" i="4"/>
  <c r="J50" i="4" s="1"/>
  <c r="H50" i="4"/>
  <c r="G50" i="4"/>
  <c r="C50" i="4"/>
  <c r="D50" i="4" s="1"/>
  <c r="B50" i="4"/>
  <c r="E50" i="4" s="1"/>
  <c r="I49" i="4"/>
  <c r="J49" i="4" s="1"/>
  <c r="H49" i="4"/>
  <c r="G49" i="4"/>
  <c r="C49" i="4"/>
  <c r="D49" i="4" s="1"/>
  <c r="B49" i="4"/>
  <c r="I48" i="4"/>
  <c r="J48" i="4" s="1"/>
  <c r="H48" i="4"/>
  <c r="G48" i="4"/>
  <c r="C48" i="4"/>
  <c r="D48" i="4" s="1"/>
  <c r="B48" i="4"/>
  <c r="I47" i="4"/>
  <c r="J47" i="4" s="1"/>
  <c r="H47" i="4"/>
  <c r="G47" i="4"/>
  <c r="C47" i="4"/>
  <c r="D47" i="4" s="1"/>
  <c r="B47" i="4"/>
  <c r="I46" i="4"/>
  <c r="J46" i="4" s="1"/>
  <c r="H46" i="4"/>
  <c r="G46" i="4"/>
  <c r="C46" i="4"/>
  <c r="D46" i="4" s="1"/>
  <c r="B46" i="4"/>
  <c r="I45" i="4"/>
  <c r="J45" i="4" s="1"/>
  <c r="H45" i="4"/>
  <c r="G45" i="4"/>
  <c r="C45" i="4"/>
  <c r="D45" i="4" s="1"/>
  <c r="B45" i="4"/>
  <c r="I38" i="4"/>
  <c r="J38" i="4" s="1"/>
  <c r="H38" i="4"/>
  <c r="K38" i="4" s="1"/>
  <c r="G38" i="4"/>
  <c r="I37" i="4"/>
  <c r="J37" i="4" s="1"/>
  <c r="K37" i="4" s="1"/>
  <c r="H37" i="4"/>
  <c r="G37" i="4"/>
  <c r="I36" i="4"/>
  <c r="J36" i="4" s="1"/>
  <c r="H36" i="4"/>
  <c r="G36" i="4"/>
  <c r="I35" i="4"/>
  <c r="J35" i="4" s="1"/>
  <c r="H35" i="4"/>
  <c r="G35" i="4"/>
  <c r="I34" i="4"/>
  <c r="J34" i="4" s="1"/>
  <c r="H34" i="4"/>
  <c r="G34" i="4"/>
  <c r="J33" i="4"/>
  <c r="H33" i="4"/>
  <c r="G33" i="4"/>
  <c r="I32" i="4"/>
  <c r="J32" i="4" s="1"/>
  <c r="H32" i="4"/>
  <c r="G32" i="4"/>
  <c r="I31" i="4"/>
  <c r="J31" i="4" s="1"/>
  <c r="H31" i="4"/>
  <c r="G31" i="4"/>
  <c r="C31" i="4"/>
  <c r="D31" i="4" s="1"/>
  <c r="B31" i="4"/>
  <c r="E31" i="4" s="1"/>
  <c r="I30" i="4"/>
  <c r="J30" i="4" s="1"/>
  <c r="H30" i="4"/>
  <c r="G30" i="4"/>
  <c r="C30" i="4"/>
  <c r="D30" i="4" s="1"/>
  <c r="E30" i="4" s="1"/>
  <c r="B30" i="4"/>
  <c r="I29" i="4"/>
  <c r="J29" i="4" s="1"/>
  <c r="H29" i="4"/>
  <c r="G29" i="4"/>
  <c r="C29" i="4"/>
  <c r="D29" i="4" s="1"/>
  <c r="B29" i="4"/>
  <c r="I28" i="4"/>
  <c r="J28" i="4" s="1"/>
  <c r="H28" i="4"/>
  <c r="G28" i="4"/>
  <c r="C28" i="4"/>
  <c r="D28" i="4" s="1"/>
  <c r="B28" i="4"/>
  <c r="I27" i="4"/>
  <c r="J27" i="4" s="1"/>
  <c r="H27" i="4"/>
  <c r="G27" i="4"/>
  <c r="C27" i="4"/>
  <c r="D27" i="4" s="1"/>
  <c r="B27" i="4"/>
  <c r="I26" i="4"/>
  <c r="J26" i="4" s="1"/>
  <c r="H26" i="4"/>
  <c r="G26" i="4"/>
  <c r="C26" i="4"/>
  <c r="D26" i="4" s="1"/>
  <c r="B26" i="4"/>
  <c r="I25" i="4"/>
  <c r="J25" i="4" s="1"/>
  <c r="H25" i="4"/>
  <c r="G25" i="4"/>
  <c r="C25" i="4"/>
  <c r="D25" i="4" s="1"/>
  <c r="B25" i="4"/>
  <c r="I24" i="4"/>
  <c r="J24" i="4" s="1"/>
  <c r="H24" i="4"/>
  <c r="G24" i="4"/>
  <c r="C24" i="4"/>
  <c r="D24" i="4" s="1"/>
  <c r="B24" i="4"/>
  <c r="D41" i="4"/>
  <c r="D62" i="4" s="1"/>
  <c r="I17" i="4"/>
  <c r="J17" i="4" s="1"/>
  <c r="H17" i="4"/>
  <c r="K17" i="4" s="1"/>
  <c r="G17" i="4"/>
  <c r="I16" i="4"/>
  <c r="J16" i="4" s="1"/>
  <c r="H16" i="4"/>
  <c r="G16" i="4"/>
  <c r="I15" i="4"/>
  <c r="J15" i="4" s="1"/>
  <c r="H15" i="4"/>
  <c r="K15" i="4" s="1"/>
  <c r="G15" i="4"/>
  <c r="I14" i="4"/>
  <c r="J14" i="4" s="1"/>
  <c r="H14" i="4"/>
  <c r="G14" i="4"/>
  <c r="I13" i="4"/>
  <c r="J13" i="4" s="1"/>
  <c r="H13" i="4"/>
  <c r="G13" i="4"/>
  <c r="I12" i="4"/>
  <c r="J12" i="4" s="1"/>
  <c r="H12" i="4"/>
  <c r="G12" i="4"/>
  <c r="I11" i="4"/>
  <c r="J11" i="4" s="1"/>
  <c r="H11" i="4"/>
  <c r="G11" i="4"/>
  <c r="I10" i="4"/>
  <c r="J10" i="4" s="1"/>
  <c r="H10" i="4"/>
  <c r="G10" i="4"/>
  <c r="C10" i="4"/>
  <c r="D10" i="4" s="1"/>
  <c r="B10" i="4"/>
  <c r="E10" i="4" s="1"/>
  <c r="I9" i="4"/>
  <c r="J9" i="4" s="1"/>
  <c r="H9" i="4"/>
  <c r="G9" i="4"/>
  <c r="C9" i="4"/>
  <c r="D9" i="4" s="1"/>
  <c r="B9" i="4"/>
  <c r="I8" i="4"/>
  <c r="J8" i="4" s="1"/>
  <c r="H8" i="4"/>
  <c r="G8" i="4"/>
  <c r="C8" i="4"/>
  <c r="D8" i="4" s="1"/>
  <c r="B8" i="4"/>
  <c r="I7" i="4"/>
  <c r="J7" i="4" s="1"/>
  <c r="H7" i="4"/>
  <c r="G7" i="4"/>
  <c r="C7" i="4"/>
  <c r="D7" i="4" s="1"/>
  <c r="B7" i="4"/>
  <c r="I6" i="4"/>
  <c r="J6" i="4" s="1"/>
  <c r="H6" i="4"/>
  <c r="G6" i="4"/>
  <c r="C6" i="4"/>
  <c r="D6" i="4" s="1"/>
  <c r="B6" i="4"/>
  <c r="I5" i="4"/>
  <c r="J5" i="4" s="1"/>
  <c r="H5" i="4"/>
  <c r="G5" i="4"/>
  <c r="C5" i="4"/>
  <c r="D5" i="4" s="1"/>
  <c r="B5" i="4"/>
  <c r="I4" i="4"/>
  <c r="J4" i="4" s="1"/>
  <c r="H4" i="4"/>
  <c r="G4" i="4"/>
  <c r="C4" i="4"/>
  <c r="D4" i="4" s="1"/>
  <c r="B4" i="4"/>
  <c r="I3" i="4"/>
  <c r="J3" i="4" s="1"/>
  <c r="H3" i="4"/>
  <c r="G3" i="4"/>
  <c r="C3" i="4"/>
  <c r="D3" i="4" s="1"/>
  <c r="B3" i="4"/>
  <c r="B2" i="4"/>
  <c r="G2" i="4" s="1"/>
  <c r="K59" i="4"/>
  <c r="E59" i="4"/>
  <c r="E57" i="4"/>
  <c r="E56" i="4"/>
  <c r="E55" i="4"/>
  <c r="E54" i="4"/>
  <c r="E53" i="4"/>
  <c r="E38" i="4"/>
  <c r="E36" i="4"/>
  <c r="E35" i="4"/>
  <c r="E34" i="4"/>
  <c r="E33" i="4"/>
  <c r="E32" i="4"/>
  <c r="E17" i="4"/>
  <c r="E16" i="4"/>
  <c r="E15" i="4"/>
  <c r="E14" i="4"/>
  <c r="E13" i="4"/>
  <c r="E12" i="4"/>
  <c r="E11" i="4"/>
  <c r="K58" i="4" l="1"/>
  <c r="K16" i="4"/>
  <c r="K36" i="4"/>
  <c r="E9" i="4"/>
  <c r="E8" i="4"/>
  <c r="E29" i="4"/>
  <c r="E6" i="4"/>
  <c r="K6" i="4"/>
  <c r="K10" i="4"/>
  <c r="K14" i="4"/>
  <c r="K11" i="4"/>
  <c r="K13" i="4"/>
  <c r="K31" i="4"/>
  <c r="K51" i="4"/>
  <c r="K53" i="4"/>
  <c r="K8" i="4"/>
  <c r="K33" i="4"/>
  <c r="K55" i="4"/>
  <c r="K27" i="4"/>
  <c r="K47" i="4"/>
  <c r="K12" i="4"/>
  <c r="K35" i="4"/>
  <c r="K4" i="4"/>
  <c r="K28" i="4"/>
  <c r="K25" i="4"/>
  <c r="K45" i="4"/>
  <c r="K30" i="4"/>
  <c r="K32" i="4"/>
  <c r="K50" i="4"/>
  <c r="K54" i="4"/>
  <c r="K9" i="4"/>
  <c r="K24" i="4"/>
  <c r="K52" i="4"/>
  <c r="K5" i="4"/>
  <c r="K26" i="4"/>
  <c r="K46" i="4"/>
  <c r="E5" i="4"/>
  <c r="E46" i="4"/>
  <c r="E49" i="4"/>
  <c r="E7" i="4"/>
  <c r="E45" i="4"/>
  <c r="E3" i="4"/>
  <c r="J41" i="4"/>
  <c r="J62" i="4" s="1"/>
  <c r="E47" i="4"/>
  <c r="E4" i="4"/>
  <c r="K3" i="4"/>
  <c r="K48" i="4"/>
  <c r="E25" i="4"/>
  <c r="E48" i="4"/>
  <c r="E27" i="4"/>
  <c r="K7" i="4"/>
  <c r="K29" i="4"/>
  <c r="K34" i="4"/>
  <c r="K49" i="4"/>
  <c r="K56" i="4"/>
  <c r="K60" i="4" l="1"/>
  <c r="K61" i="4" s="1"/>
  <c r="K62" i="4" s="1"/>
  <c r="K63" i="4" s="1"/>
  <c r="K39" i="4"/>
  <c r="K40" i="4" s="1"/>
  <c r="K41" i="4" s="1"/>
  <c r="K42" i="4" s="1"/>
  <c r="E18" i="4"/>
  <c r="E19" i="4" s="1"/>
  <c r="E20" i="4" s="1"/>
  <c r="E21" i="4" s="1"/>
  <c r="E24" i="4"/>
  <c r="E28" i="4"/>
  <c r="E26" i="4"/>
  <c r="E60" i="4"/>
  <c r="E61" i="4" s="1"/>
  <c r="E62" i="4" s="1"/>
  <c r="E63" i="4" s="1"/>
  <c r="K18" i="4"/>
  <c r="K19" i="4" s="1"/>
  <c r="E39" i="4" l="1"/>
  <c r="E40" i="4" s="1"/>
  <c r="E41" i="4" s="1"/>
  <c r="E42" i="4" s="1"/>
  <c r="K20" i="4"/>
  <c r="K21" i="4" s="1"/>
  <c r="D4" i="33" l="1"/>
  <c r="D4" i="32"/>
  <c r="D4" i="31"/>
  <c r="D11" i="33"/>
  <c r="D11" i="32"/>
  <c r="D11" i="31"/>
  <c r="I34" i="25" l="1"/>
  <c r="D9" i="33"/>
  <c r="D10" i="33"/>
  <c r="A1" i="33" s="1"/>
  <c r="D9" i="32"/>
  <c r="D10" i="32"/>
  <c r="A1" i="32" s="1"/>
  <c r="D8" i="31"/>
  <c r="D9" i="31"/>
  <c r="D10" i="31"/>
  <c r="A1" i="31" s="1"/>
  <c r="C41" i="13" l="1"/>
  <c r="C40" i="13"/>
  <c r="C31" i="13"/>
  <c r="C24" i="13"/>
  <c r="C17" i="13"/>
  <c r="C66" i="13" l="1"/>
  <c r="E66" i="13" s="1"/>
  <c r="B66" i="13"/>
  <c r="L62" i="30" l="1"/>
  <c r="D45" i="32"/>
  <c r="D45" i="33"/>
  <c r="D45" i="31"/>
  <c r="B54" i="25" l="1"/>
  <c r="C8" i="13"/>
  <c r="C33" i="13" l="1"/>
  <c r="C26" i="13"/>
  <c r="A7" i="14" l="1"/>
  <c r="A6" i="14"/>
  <c r="A5" i="14"/>
  <c r="A4" i="14"/>
  <c r="B7" i="14"/>
  <c r="B6" i="14"/>
  <c r="B5" i="14"/>
  <c r="B4" i="14"/>
  <c r="B28" i="33" l="1"/>
  <c r="B28" i="32"/>
  <c r="B28" i="31"/>
  <c r="B41" i="25" l="1"/>
  <c r="B45" i="25"/>
  <c r="B46" i="25"/>
  <c r="B42" i="25"/>
  <c r="B23" i="25"/>
  <c r="B22" i="25"/>
  <c r="B21" i="25"/>
  <c r="B20" i="25"/>
  <c r="C4" i="13"/>
  <c r="B34" i="25"/>
  <c r="E24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4" i="12"/>
  <c r="E28" i="33"/>
  <c r="D16" i="33"/>
  <c r="D15" i="33"/>
  <c r="D44" i="33"/>
  <c r="D5" i="33"/>
  <c r="E28" i="32"/>
  <c r="D16" i="32"/>
  <c r="D15" i="32"/>
  <c r="D44" i="32"/>
  <c r="D5" i="32"/>
  <c r="E25" i="31"/>
  <c r="D16" i="31"/>
  <c r="E16" i="31" s="1"/>
  <c r="E23" i="31" l="1"/>
  <c r="E15" i="33"/>
  <c r="E15" i="32"/>
  <c r="E28" i="31" l="1"/>
  <c r="E26" i="31"/>
  <c r="D24" i="32" l="1"/>
  <c r="D24" i="33"/>
  <c r="D57" i="32" l="1"/>
  <c r="D57" i="33"/>
  <c r="E24" i="31"/>
  <c r="D47" i="33"/>
  <c r="D47" i="32"/>
  <c r="D54" i="32" l="1"/>
  <c r="D54" i="33"/>
  <c r="D15" i="31"/>
  <c r="D5" i="31"/>
  <c r="D44" i="31"/>
  <c r="I72" i="30"/>
  <c r="I69" i="30"/>
  <c r="I68" i="30"/>
  <c r="I67" i="30"/>
  <c r="I65" i="30"/>
  <c r="I62" i="30"/>
  <c r="G72" i="30"/>
  <c r="G69" i="30"/>
  <c r="G68" i="30"/>
  <c r="G67" i="30"/>
  <c r="G65" i="30"/>
  <c r="G62" i="30"/>
  <c r="D8" i="32"/>
  <c r="B18" i="30"/>
  <c r="B28" i="30" s="1"/>
  <c r="E21" i="32" l="1"/>
  <c r="E22" i="32" s="1"/>
  <c r="E25" i="33"/>
  <c r="E25" i="32"/>
  <c r="D8" i="33"/>
  <c r="E16" i="32"/>
  <c r="E18" i="32" s="1"/>
  <c r="E66" i="32" s="1"/>
  <c r="C18" i="30"/>
  <c r="C28" i="30" s="1"/>
  <c r="C35" i="30" s="1"/>
  <c r="C42" i="30" s="1"/>
  <c r="F60" i="30" s="1"/>
  <c r="E26" i="33"/>
  <c r="E26" i="32"/>
  <c r="E27" i="31"/>
  <c r="E15" i="31"/>
  <c r="E21" i="31" s="1"/>
  <c r="B35" i="30"/>
  <c r="B42" i="30" s="1"/>
  <c r="D60" i="30" s="1"/>
  <c r="C18" i="13"/>
  <c r="C13" i="13"/>
  <c r="D57" i="31" l="1"/>
  <c r="E21" i="33"/>
  <c r="E22" i="33" s="1"/>
  <c r="D47" i="31"/>
  <c r="E45" i="32"/>
  <c r="E47" i="32"/>
  <c r="E22" i="31"/>
  <c r="E16" i="33"/>
  <c r="E18" i="33" s="1"/>
  <c r="D41" i="31"/>
  <c r="D56" i="31" s="1"/>
  <c r="D41" i="33"/>
  <c r="D41" i="32"/>
  <c r="E39" i="32"/>
  <c r="E35" i="32"/>
  <c r="E36" i="32"/>
  <c r="E37" i="32"/>
  <c r="E34" i="32"/>
  <c r="E38" i="32"/>
  <c r="E44" i="32"/>
  <c r="E40" i="32"/>
  <c r="E7" i="25"/>
  <c r="E23" i="32"/>
  <c r="E24" i="32" s="1"/>
  <c r="E27" i="33"/>
  <c r="E27" i="32"/>
  <c r="E23" i="33"/>
  <c r="E24" i="33" s="1"/>
  <c r="E18" i="31"/>
  <c r="E66" i="31" s="1"/>
  <c r="D18" i="30"/>
  <c r="E8" i="25" l="1"/>
  <c r="E66" i="33"/>
  <c r="D46" i="32"/>
  <c r="E46" i="32" s="1"/>
  <c r="D56" i="32"/>
  <c r="D58" i="32" s="1"/>
  <c r="E57" i="32"/>
  <c r="D46" i="33"/>
  <c r="D56" i="33"/>
  <c r="D58" i="33" s="1"/>
  <c r="E53" i="32"/>
  <c r="E54" i="32"/>
  <c r="D54" i="31"/>
  <c r="D58" i="31" s="1"/>
  <c r="E39" i="33"/>
  <c r="E44" i="33"/>
  <c r="E38" i="33"/>
  <c r="E35" i="33"/>
  <c r="D46" i="31"/>
  <c r="E46" i="31" s="1"/>
  <c r="E40" i="33"/>
  <c r="E47" i="33"/>
  <c r="E45" i="33"/>
  <c r="E46" i="33"/>
  <c r="E47" i="31"/>
  <c r="E45" i="31"/>
  <c r="E36" i="33"/>
  <c r="E37" i="33"/>
  <c r="E29" i="31"/>
  <c r="E67" i="31" s="1"/>
  <c r="E34" i="33"/>
  <c r="E33" i="32"/>
  <c r="E41" i="32" s="1"/>
  <c r="D48" i="33"/>
  <c r="E33" i="33"/>
  <c r="E29" i="33"/>
  <c r="E67" i="33" s="1"/>
  <c r="E29" i="32"/>
  <c r="E67" i="32" s="1"/>
  <c r="E6" i="25"/>
  <c r="E36" i="31"/>
  <c r="E38" i="31"/>
  <c r="E44" i="31"/>
  <c r="E35" i="31"/>
  <c r="E33" i="31"/>
  <c r="E34" i="31"/>
  <c r="E40" i="31"/>
  <c r="E39" i="31"/>
  <c r="E37" i="31"/>
  <c r="D28" i="30"/>
  <c r="D35" i="30" s="1"/>
  <c r="D42" i="30" s="1"/>
  <c r="H60" i="30" s="1"/>
  <c r="E57" i="31" l="1"/>
  <c r="E57" i="33"/>
  <c r="E56" i="31"/>
  <c r="E53" i="31"/>
  <c r="E53" i="33"/>
  <c r="E54" i="33"/>
  <c r="E54" i="31"/>
  <c r="D29" i="33"/>
  <c r="E55" i="33"/>
  <c r="E52" i="33"/>
  <c r="E56" i="33"/>
  <c r="E56" i="32"/>
  <c r="E52" i="32"/>
  <c r="E55" i="32"/>
  <c r="E52" i="31"/>
  <c r="E55" i="31"/>
  <c r="D48" i="31"/>
  <c r="G7" i="25"/>
  <c r="D29" i="32"/>
  <c r="G8" i="25"/>
  <c r="G6" i="25"/>
  <c r="D29" i="31"/>
  <c r="E41" i="33"/>
  <c r="E48" i="33"/>
  <c r="D48" i="32"/>
  <c r="E48" i="32"/>
  <c r="E49" i="32" s="1"/>
  <c r="E68" i="32" s="1"/>
  <c r="E48" i="31"/>
  <c r="E41" i="31"/>
  <c r="C12" i="13"/>
  <c r="E49" i="33" l="1"/>
  <c r="E68" i="33" s="1"/>
  <c r="E49" i="31"/>
  <c r="E68" i="31" s="1"/>
  <c r="E58" i="32"/>
  <c r="E58" i="33"/>
  <c r="E58" i="31"/>
  <c r="K27" i="25"/>
  <c r="E69" i="33" l="1"/>
  <c r="E69" i="32"/>
  <c r="E69" i="31"/>
  <c r="I55" i="25"/>
  <c r="E72" i="30"/>
  <c r="E69" i="30"/>
  <c r="E68" i="30"/>
  <c r="E67" i="30"/>
  <c r="E65" i="30"/>
  <c r="E62" i="30"/>
  <c r="C71" i="30" l="1"/>
  <c r="E71" i="30" s="1"/>
  <c r="C74" i="30"/>
  <c r="C63" i="30"/>
  <c r="C66" i="30"/>
  <c r="C70" i="30"/>
  <c r="C64" i="30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G71" i="30" l="1"/>
  <c r="I71" i="30"/>
  <c r="I74" i="30"/>
  <c r="E74" i="30"/>
  <c r="G74" i="30"/>
  <c r="E63" i="30"/>
  <c r="I63" i="30"/>
  <c r="G63" i="30"/>
  <c r="E64" i="30"/>
  <c r="I64" i="30"/>
  <c r="G64" i="30"/>
  <c r="E70" i="30"/>
  <c r="I70" i="30"/>
  <c r="G70" i="30"/>
  <c r="E66" i="30"/>
  <c r="G66" i="30"/>
  <c r="I66" i="30"/>
  <c r="D61" i="32" l="1"/>
  <c r="E61" i="32" s="1"/>
  <c r="D61" i="31"/>
  <c r="E61" i="31" s="1"/>
  <c r="D61" i="33"/>
  <c r="E61" i="33" s="1"/>
  <c r="E73" i="30"/>
  <c r="G73" i="30"/>
  <c r="I73" i="30"/>
  <c r="D62" i="32" l="1"/>
  <c r="E62" i="32" s="1"/>
  <c r="D62" i="33"/>
  <c r="E62" i="33" s="1"/>
  <c r="D62" i="31"/>
  <c r="E62" i="31" s="1"/>
  <c r="H34" i="25"/>
  <c r="I42" i="25" l="1"/>
  <c r="I46" i="25" l="1"/>
  <c r="E4" i="12" l="1"/>
  <c r="E16" i="12"/>
  <c r="E15" i="12"/>
  <c r="E14" i="12"/>
  <c r="E13" i="12"/>
  <c r="E12" i="12"/>
  <c r="E11" i="12"/>
  <c r="E10" i="12"/>
  <c r="E9" i="12"/>
  <c r="E8" i="12"/>
  <c r="E7" i="12"/>
  <c r="E6" i="12"/>
  <c r="E5" i="12"/>
  <c r="D15" i="12"/>
  <c r="D14" i="12"/>
  <c r="D12" i="12"/>
  <c r="D11" i="12"/>
  <c r="D10" i="12"/>
  <c r="D9" i="12"/>
  <c r="D8" i="12"/>
  <c r="D7" i="12"/>
  <c r="D6" i="12"/>
  <c r="D5" i="12"/>
  <c r="D4" i="12"/>
  <c r="D6" i="14"/>
  <c r="C4" i="14"/>
  <c r="C5" i="14"/>
  <c r="C7" i="14" l="1"/>
  <c r="C6" i="14"/>
  <c r="E6" i="14" s="1"/>
  <c r="F6" i="14" s="1"/>
  <c r="G6" i="14" s="1"/>
  <c r="I15" i="25" l="1"/>
  <c r="I13" i="25" l="1"/>
  <c r="I14" i="25"/>
  <c r="F5" i="12" l="1"/>
  <c r="G5" i="12" s="1"/>
  <c r="J22" i="25"/>
  <c r="C32" i="13" l="1"/>
  <c r="C25" i="13"/>
  <c r="E5" i="26" l="1"/>
  <c r="B12" i="27" l="1"/>
  <c r="B5" i="30"/>
  <c r="E6" i="26"/>
  <c r="B7" i="30" l="1"/>
  <c r="B14" i="30" s="1"/>
  <c r="K22" i="25"/>
  <c r="F6" i="26"/>
  <c r="C49" i="13"/>
  <c r="C42" i="13"/>
  <c r="D119" i="30" l="1"/>
  <c r="D14" i="30"/>
  <c r="C14" i="30"/>
  <c r="D6" i="25"/>
  <c r="H13" i="25" s="1"/>
  <c r="C38" i="13"/>
  <c r="B38" i="13"/>
  <c r="B48" i="13" s="1"/>
  <c r="D122" i="30" l="1"/>
  <c r="D16" i="12" s="1"/>
  <c r="D7" i="25"/>
  <c r="H14" i="25" s="1"/>
  <c r="D8" i="25"/>
  <c r="H15" i="25" s="1"/>
  <c r="D100" i="30"/>
  <c r="D4" i="14" s="1"/>
  <c r="E4" i="14" s="1"/>
  <c r="D101" i="30"/>
  <c r="D13" i="12"/>
  <c r="C48" i="13"/>
  <c r="C39" i="13"/>
  <c r="C19" i="13"/>
  <c r="C43" i="13" l="1"/>
  <c r="C53" i="13" s="1"/>
  <c r="C20" i="13"/>
  <c r="C21" i="13" s="1"/>
  <c r="C61" i="13" s="1"/>
  <c r="D61" i="13" s="1"/>
  <c r="D103" i="30"/>
  <c r="D7" i="14" s="1"/>
  <c r="E7" i="14" s="1"/>
  <c r="F7" i="14" s="1"/>
  <c r="G7" i="14" s="1"/>
  <c r="J23" i="25" s="1"/>
  <c r="K23" i="25" s="1"/>
  <c r="D5" i="14"/>
  <c r="E5" i="14" s="1"/>
  <c r="F5" i="14" s="1"/>
  <c r="G5" i="14" s="1"/>
  <c r="J21" i="25" s="1"/>
  <c r="K21" i="25" s="1"/>
  <c r="F4" i="14"/>
  <c r="C44" i="13"/>
  <c r="C45" i="13" s="1"/>
  <c r="C64" i="13" s="1"/>
  <c r="C27" i="13"/>
  <c r="C28" i="13" s="1"/>
  <c r="C11" i="13"/>
  <c r="C14" i="13" s="1"/>
  <c r="E11" i="14" l="1"/>
  <c r="G4" i="14"/>
  <c r="F11" i="14"/>
  <c r="E61" i="13"/>
  <c r="C60" i="13"/>
  <c r="D60" i="13" s="1"/>
  <c r="C62" i="13"/>
  <c r="D62" i="13" s="1"/>
  <c r="C34" i="13"/>
  <c r="C35" i="13" s="1"/>
  <c r="F13" i="14" l="1"/>
  <c r="F14" i="14" s="1"/>
  <c r="G11" i="14"/>
  <c r="J20" i="25"/>
  <c r="K20" i="25" s="1"/>
  <c r="E62" i="13"/>
  <c r="C63" i="13"/>
  <c r="D63" i="13" s="1"/>
  <c r="C52" i="13"/>
  <c r="E63" i="13" l="1"/>
  <c r="C54" i="13"/>
  <c r="C65" i="13" s="1"/>
  <c r="D65" i="13" s="1"/>
  <c r="E60" i="13"/>
  <c r="E64" i="13"/>
  <c r="D67" i="13" l="1"/>
  <c r="E65" i="13"/>
  <c r="C67" i="13"/>
  <c r="F4" i="12"/>
  <c r="G4" i="12" s="1"/>
  <c r="F6" i="12"/>
  <c r="G6" i="12" s="1"/>
  <c r="F7" i="12"/>
  <c r="G7" i="12" s="1"/>
  <c r="F8" i="12"/>
  <c r="G8" i="12" s="1"/>
  <c r="F9" i="12"/>
  <c r="G9" i="12" s="1"/>
  <c r="F10" i="12"/>
  <c r="G10" i="12" s="1"/>
  <c r="F11" i="12"/>
  <c r="G11" i="12" s="1"/>
  <c r="F12" i="12"/>
  <c r="G12" i="12" s="1"/>
  <c r="F13" i="12"/>
  <c r="F14" i="12"/>
  <c r="G14" i="12" s="1"/>
  <c r="F15" i="12"/>
  <c r="G15" i="12" s="1"/>
  <c r="F16" i="12"/>
  <c r="G16" i="12" s="1"/>
  <c r="G13" i="12" l="1"/>
  <c r="G20" i="12" s="1"/>
  <c r="G21" i="12" s="1"/>
  <c r="F20" i="12"/>
  <c r="F24" i="12" s="1"/>
  <c r="F25" i="12" s="1"/>
  <c r="F26" i="12" s="1"/>
  <c r="E67" i="13"/>
  <c r="J34" i="25" s="1"/>
  <c r="K34" i="25" l="1"/>
  <c r="K35" i="25" s="1"/>
  <c r="J35" i="25"/>
  <c r="G22" i="12"/>
  <c r="J28" i="25" l="1"/>
  <c r="K28" i="25" s="1"/>
  <c r="F27" i="12"/>
  <c r="J29" i="25" s="1"/>
  <c r="K29" i="25" s="1"/>
  <c r="K30" i="25" l="1"/>
  <c r="J30" i="25"/>
  <c r="K24" i="25"/>
  <c r="J24" i="25"/>
  <c r="J14" i="25" l="1"/>
  <c r="K14" i="25" s="1"/>
  <c r="J15" i="25"/>
  <c r="K15" i="25" s="1"/>
  <c r="J13" i="25"/>
  <c r="K13" i="25" s="1"/>
  <c r="K16" i="25" l="1"/>
  <c r="J16" i="25"/>
  <c r="E63" i="33" l="1"/>
  <c r="E70" i="33" s="1"/>
  <c r="D63" i="33"/>
  <c r="E63" i="32"/>
  <c r="E70" i="32" s="1"/>
  <c r="D63" i="32"/>
  <c r="E63" i="31"/>
  <c r="E70" i="31" s="1"/>
  <c r="D63" i="31"/>
  <c r="E72" i="31" l="1"/>
  <c r="H6" i="25"/>
  <c r="H7" i="25"/>
  <c r="E72" i="32"/>
  <c r="H8" i="25"/>
  <c r="E72" i="33"/>
  <c r="F8" i="25"/>
  <c r="I8" i="25" l="1"/>
  <c r="J8" i="25" s="1"/>
  <c r="K8" i="25" s="1"/>
  <c r="F6" i="25"/>
  <c r="I6" i="25" s="1"/>
  <c r="F7" i="25"/>
  <c r="I7" i="25" l="1"/>
  <c r="J7" i="25" s="1"/>
  <c r="K7" i="25" s="1"/>
  <c r="J6" i="25"/>
  <c r="I9" i="25" l="1"/>
  <c r="K6" i="25"/>
  <c r="K9" i="25" s="1"/>
  <c r="J9" i="25"/>
  <c r="J37" i="25" s="1"/>
  <c r="J42" i="25" l="1"/>
  <c r="K37" i="25"/>
  <c r="L37" i="25" s="1"/>
  <c r="J43" i="25" l="1"/>
  <c r="K42" i="25"/>
  <c r="K43" i="25" s="1"/>
  <c r="H46" i="25" l="1"/>
  <c r="J46" i="25" s="1"/>
  <c r="J47" i="25" l="1"/>
  <c r="J59" i="25" s="1"/>
  <c r="K59" i="25" s="1"/>
  <c r="K46" i="25"/>
  <c r="K47" i="25" s="1"/>
  <c r="J50" i="25" l="1"/>
  <c r="J53" i="25"/>
  <c r="K53" i="25" s="1"/>
  <c r="J52" i="25"/>
  <c r="K52" i="25" s="1"/>
  <c r="J54" i="25"/>
  <c r="K54" i="25" s="1"/>
  <c r="J51" i="25"/>
  <c r="K51" i="25" s="1"/>
  <c r="K50" i="25" l="1"/>
  <c r="K55" i="25" s="1"/>
  <c r="J55" i="25"/>
  <c r="J57" i="25" s="1"/>
  <c r="H5" i="26" l="1"/>
  <c r="I5" i="26" s="1"/>
  <c r="C12" i="27"/>
  <c r="K57" i="25"/>
  <c r="L59" i="25" s="1"/>
  <c r="I6" i="26" l="1"/>
  <c r="L57" i="25"/>
  <c r="D12" i="27" l="1"/>
  <c r="H6" i="26"/>
</calcChain>
</file>

<file path=xl/comments1.xml><?xml version="1.0" encoding="utf-8"?>
<comments xmlns="http://schemas.openxmlformats.org/spreadsheetml/2006/main">
  <authors>
    <author>Autor</author>
  </authors>
  <commentList>
    <comment ref="B70" authorId="0" shapeId="0">
      <text>
        <r>
          <rPr>
            <sz val="9"/>
            <color indexed="81"/>
            <rFont val="Tahoma"/>
            <family val="2"/>
          </rPr>
          <t>Considerado a  maior duração possível.
Assim, caso a empresa não se enqudre como Empresa cidadã, deverá alterar os campos B70 e B71 para 5 e 120 respectivamente.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>Considerado a  maior duração possível.
Assim, caso a empresa não se enqudre como Empresa cidadã, deverá alterar os campos B70 e B71 para 5 e 120 respectivamente.</t>
        </r>
      </text>
    </comment>
    <comment ref="B83" authorId="0" shapeId="0">
      <text>
        <r>
          <rPr>
            <b/>
            <sz val="9"/>
            <color indexed="81"/>
            <rFont val="Segoe UI"/>
            <family val="2"/>
          </rPr>
          <t>25 km por dia útil</t>
        </r>
      </text>
    </comment>
    <comment ref="D100" authorId="0" shapeId="0">
      <text>
        <r>
          <rPr>
            <sz val="9"/>
            <color indexed="81"/>
            <rFont val="Segoe UI"/>
            <family val="2"/>
          </rPr>
          <t>0,50M/DIA POR ROÇADEIRA</t>
        </r>
      </text>
    </comment>
    <comment ref="D101" authorId="0" shapeId="0">
      <text>
        <r>
          <rPr>
            <sz val="9"/>
            <color indexed="81"/>
            <rFont val="Segoe UI"/>
            <family val="2"/>
          </rPr>
          <t>58,61L/MÊS PARA CADA EQPTOS</t>
        </r>
      </text>
    </comment>
    <comment ref="D103" authorId="0" shapeId="0">
      <text>
        <r>
          <rPr>
            <b/>
            <sz val="9"/>
            <color indexed="81"/>
            <rFont val="Segoe UI"/>
            <family val="2"/>
          </rPr>
          <t>4% DO CONSUMO DE COMBUSTÍVEL</t>
        </r>
      </text>
    </comment>
    <comment ref="A133" authorId="0" shapeId="0">
      <text>
        <r>
          <rPr>
            <sz val="9"/>
            <color indexed="81"/>
            <rFont val="Segoe UI"/>
            <family val="2"/>
          </rPr>
          <t>Será considerado somente para o motorista, pois os demais profissinais será considerada a BOTINA DE SEGURANÇA</t>
        </r>
      </text>
    </comment>
  </commentList>
</comments>
</file>

<file path=xl/sharedStrings.xml><?xml version="1.0" encoding="utf-8"?>
<sst xmlns="http://schemas.openxmlformats.org/spreadsheetml/2006/main" count="836" uniqueCount="370">
  <si>
    <t>Percentual</t>
  </si>
  <si>
    <t>A1</t>
  </si>
  <si>
    <t>SEBRAE</t>
  </si>
  <si>
    <t>INCRA</t>
  </si>
  <si>
    <t>GIIL-RAT (Seguro Acidente de Trabalho)</t>
  </si>
  <si>
    <t>FGTS</t>
  </si>
  <si>
    <t>B1</t>
  </si>
  <si>
    <t>Aviso Prévio Indenizado</t>
  </si>
  <si>
    <t>Qtde. em 1 ano</t>
  </si>
  <si>
    <t>Calça em tecido tipo brim</t>
  </si>
  <si>
    <t>Insalubridade</t>
  </si>
  <si>
    <t>mês</t>
  </si>
  <si>
    <t>(A) MÃO DE OBRA</t>
  </si>
  <si>
    <t>DESCRIÇÃO</t>
  </si>
  <si>
    <t xml:space="preserve">UNID. </t>
  </si>
  <si>
    <t>QTD. MENSAL</t>
  </si>
  <si>
    <t>SUBTOTAL</t>
  </si>
  <si>
    <t>PREÇO POR M2</t>
  </si>
  <si>
    <t>A</t>
  </si>
  <si>
    <t>B</t>
  </si>
  <si>
    <t>Operador de Roçadeira</t>
  </si>
  <si>
    <t>C</t>
  </si>
  <si>
    <t>D</t>
  </si>
  <si>
    <t>E</t>
  </si>
  <si>
    <t>F</t>
  </si>
  <si>
    <t>SOMA</t>
  </si>
  <si>
    <t>MATERIAIS</t>
  </si>
  <si>
    <t>Cone para sinalização, laranja e branco, 50 cm</t>
  </si>
  <si>
    <t>Foice, cabo 120 cm, cabo de madeira</t>
  </si>
  <si>
    <t>Forcado reto, arame, 4 dentes cabo de madeira</t>
  </si>
  <si>
    <t>Protetor de roçagem urbano, altura de 1,5m</t>
  </si>
  <si>
    <t>Vassoura Gari, piaçava, mínimo 40 cm</t>
  </si>
  <si>
    <t>Soprador de folhas movido à gasolina</t>
  </si>
  <si>
    <t>Transporte</t>
  </si>
  <si>
    <t>Total</t>
  </si>
  <si>
    <t>Motorista</t>
  </si>
  <si>
    <t>Preço Unitário</t>
  </si>
  <si>
    <t>%</t>
  </si>
  <si>
    <t>TRIBUTOS</t>
  </si>
  <si>
    <t>ISS</t>
  </si>
  <si>
    <t>SOMA DOS CUSTO INDIRETOS,  LUCRO E TRIBUTOS</t>
  </si>
  <si>
    <t>Depreciação Mensal</t>
  </si>
  <si>
    <t>Unidade</t>
  </si>
  <si>
    <t>Descrição</t>
  </si>
  <si>
    <t>Depreciação</t>
  </si>
  <si>
    <r>
      <t xml:space="preserve">PIS </t>
    </r>
    <r>
      <rPr>
        <b/>
        <sz val="8"/>
        <rFont val="Calibri (Corpo)"/>
      </rPr>
      <t xml:space="preserve"> </t>
    </r>
  </si>
  <si>
    <t xml:space="preserve">COFINS </t>
  </si>
  <si>
    <t>Manutenção de Equipamento</t>
  </si>
  <si>
    <t>Base</t>
  </si>
  <si>
    <t>UNIDADE</t>
  </si>
  <si>
    <t>VALOR UNITÁRIO</t>
  </si>
  <si>
    <t>Custo Anual</t>
  </si>
  <si>
    <t>Par</t>
  </si>
  <si>
    <t>120 Ml</t>
  </si>
  <si>
    <t>Vida Útil em Meses</t>
  </si>
  <si>
    <t>CUSTO COM EQUIPAMENTOS</t>
  </si>
  <si>
    <t>CONSUMO DE COMBUSTÍVEL</t>
  </si>
  <si>
    <t>km/mês</t>
  </si>
  <si>
    <t>km/litro</t>
  </si>
  <si>
    <t>Valor mensal</t>
  </si>
  <si>
    <t xml:space="preserve"> </t>
  </si>
  <si>
    <t>MANUTENÇÃO</t>
  </si>
  <si>
    <t>Valor de aquisição</t>
  </si>
  <si>
    <t>Quantidade</t>
  </si>
  <si>
    <t>km</t>
  </si>
  <si>
    <t>LUBRIFICAÇÃO</t>
  </si>
  <si>
    <t>LICENCIAMENTO E SEGUROS</t>
  </si>
  <si>
    <t>Valor anual</t>
  </si>
  <si>
    <t>DEPRECIAÇÃO</t>
  </si>
  <si>
    <t>Valor residual</t>
  </si>
  <si>
    <t>Vida útil em meses</t>
  </si>
  <si>
    <t>Combustível</t>
  </si>
  <si>
    <t>Manutenção</t>
  </si>
  <si>
    <t>Lei 14.260</t>
  </si>
  <si>
    <t>IPVA</t>
  </si>
  <si>
    <t>RESUMO DO CUSTO DO VEÍCULO</t>
  </si>
  <si>
    <t>Camioneta</t>
  </si>
  <si>
    <t>Camiseta branca de manga longa</t>
  </si>
  <si>
    <t>Meias pretas (pares)</t>
  </si>
  <si>
    <t>Sapato de segurança monodensidade</t>
  </si>
  <si>
    <t>Boné árabe, brim</t>
  </si>
  <si>
    <t>Luva de raspa de couro, 07 cm de cano</t>
  </si>
  <si>
    <t>Óculos de proteção, policarbonato, incolor</t>
  </si>
  <si>
    <t>Colete refletivo em X</t>
  </si>
  <si>
    <t>Botina de segurança, com elástico, sem biqueira, bidensidade</t>
  </si>
  <si>
    <t>Perneira de raspa</t>
  </si>
  <si>
    <t>Abafador auricular tipo concha, mínimo 20 db</t>
  </si>
  <si>
    <t>Protetor facial incolor</t>
  </si>
  <si>
    <t>Protetor auricular tipo plug</t>
  </si>
  <si>
    <t>Avental de raspa de couro</t>
  </si>
  <si>
    <t>Enxada larga de 30 cm c/ cabo de madeira</t>
  </si>
  <si>
    <t>Enxadão largo c/ cabo de madeira entre 130cm -150 cm</t>
  </si>
  <si>
    <t>Balaio de Polipropileno  Nº 6 (45 cm de alt. 60L)</t>
  </si>
  <si>
    <t>Chibancas de 90 - 100 cm</t>
  </si>
  <si>
    <t>Pá quadrada, cabo de madeira, 120 cm - 130cm</t>
  </si>
  <si>
    <t>GASOLINA (ROÇADEIRA E SOPRADOR DE FOLHAS)</t>
  </si>
  <si>
    <t>Valor Unitário</t>
  </si>
  <si>
    <t>Custo Mensal</t>
  </si>
  <si>
    <t>Próprio</t>
  </si>
  <si>
    <t xml:space="preserve">Lubrificação </t>
  </si>
  <si>
    <t xml:space="preserve">PLANILHA DE CUSTOS E FORMAÇÃO DE PREÇOS </t>
  </si>
  <si>
    <t>Crachá</t>
  </si>
  <si>
    <t>GRAMA</t>
  </si>
  <si>
    <t>LOTES</t>
  </si>
  <si>
    <t>CUSTO/M²</t>
  </si>
  <si>
    <t>ESTIMATIVA DE CUSTOS</t>
  </si>
  <si>
    <t>LOTE</t>
  </si>
  <si>
    <t>REGIÃO</t>
  </si>
  <si>
    <t>CUSTO MENSAL</t>
  </si>
  <si>
    <t>ÁREA</t>
  </si>
  <si>
    <t xml:space="preserve">Capa de chuva </t>
  </si>
  <si>
    <t>Seguro DPVAT</t>
  </si>
  <si>
    <t>m²</t>
  </si>
  <si>
    <t>Valor de Aquisição</t>
  </si>
  <si>
    <t>Ancinho, rastelo curvo, cabo 150 cm (METAL)</t>
  </si>
  <si>
    <t xml:space="preserve">¹ RAT     </t>
  </si>
  <si>
    <t xml:space="preserve">² FAP     </t>
  </si>
  <si>
    <t xml:space="preserve">Enquadramento tributário: </t>
  </si>
  <si>
    <t>Faixa 1</t>
  </si>
  <si>
    <t>Anexo I</t>
  </si>
  <si>
    <t>Faixa 2</t>
  </si>
  <si>
    <t>Anexo II</t>
  </si>
  <si>
    <t>Faixa 3</t>
  </si>
  <si>
    <t>Anexo III</t>
  </si>
  <si>
    <t>Faixa 4</t>
  </si>
  <si>
    <t>Anexo IV</t>
  </si>
  <si>
    <t>Faixa 5</t>
  </si>
  <si>
    <t>Faixa 6</t>
  </si>
  <si>
    <t>LUCRO REAL</t>
  </si>
  <si>
    <t>LUCRO PRESUMIDO</t>
  </si>
  <si>
    <t>SIMPLES NACIONAL</t>
  </si>
  <si>
    <t>Incidência do FGTS sobre o aviso prévio indenizado</t>
  </si>
  <si>
    <t>Multa do FGTS e contribuições sociais sobre o Aviso Prévio Indenizado</t>
  </si>
  <si>
    <t>Aviso Prévio trabalhado</t>
  </si>
  <si>
    <t>Incidência dos encargos do Grupo A sobre o aviso prévio trabalhado</t>
  </si>
  <si>
    <t>Multa do FGTS e contribuições sociais sobre Aviso trabalhado</t>
  </si>
  <si>
    <t>Duração Legal da Ausência</t>
  </si>
  <si>
    <t>Proporção dias afetados
mensalista</t>
  </si>
  <si>
    <t>Incidência 
anual</t>
  </si>
  <si>
    <t>Dias de reposição</t>
  </si>
  <si>
    <t>Ausência justificada (incidência anual)</t>
  </si>
  <si>
    <t>Acidente trabalho (incidência anual)</t>
  </si>
  <si>
    <t>Afastamento por doença (incidência anual)</t>
  </si>
  <si>
    <t>Consulta médica filho (incidência anual)</t>
  </si>
  <si>
    <t>Óbitos na família (incidência anual)</t>
  </si>
  <si>
    <t>Casamento (incidência anual)</t>
  </si>
  <si>
    <t>Doação de sangue (incidência anual)</t>
  </si>
  <si>
    <t>Testemunho (incidência anual)</t>
  </si>
  <si>
    <t>Paternidade (incidência anual)</t>
  </si>
  <si>
    <t>Maternidade (incidência anual)</t>
  </si>
  <si>
    <t>Consulta pré-natal (incidência anual)</t>
  </si>
  <si>
    <t>Total Ausências legais</t>
  </si>
  <si>
    <t>104 finais de semana</t>
  </si>
  <si>
    <t>https://www.dias-uteis.com/calendario_dias_uteis_2019.htm</t>
  </si>
  <si>
    <t>2 feriados municipais</t>
  </si>
  <si>
    <t>PROPOSTA</t>
  </si>
  <si>
    <t>CRÉDITO DE PIS E COFINS</t>
  </si>
  <si>
    <t>Valor mensal por posto de trabalho  (final)</t>
  </si>
  <si>
    <t>VALOR MENSAL FINAL</t>
  </si>
  <si>
    <t>EQUIPAMENTOS</t>
  </si>
  <si>
    <t>INSUMOS</t>
  </si>
  <si>
    <t>Custo Mensal
(-) Crédito de Pis e Cofins</t>
  </si>
  <si>
    <t>MANUTENÇÃO DE EQUIPAMENTOS ANUAL</t>
  </si>
  <si>
    <t>MANUTENÇÃO DE EQUIPAMENTOS MENSAL</t>
  </si>
  <si>
    <t>MANUTENÇÃO DE EQUIPAMENTOS MENSAL FINAL</t>
  </si>
  <si>
    <t>Custo Unitário</t>
  </si>
  <si>
    <t>Custo para Fornecimento de Camioneta</t>
  </si>
  <si>
    <t>Itens</t>
  </si>
  <si>
    <t>Custo</t>
  </si>
  <si>
    <t>Crédito de Pis e Cofins</t>
  </si>
  <si>
    <t>Custo total</t>
  </si>
  <si>
    <t>Alíquota Pis e Cofins</t>
  </si>
  <si>
    <t>VALOR BASE</t>
  </si>
  <si>
    <t>BENEFÍCIOS</t>
  </si>
  <si>
    <t xml:space="preserve">SACO DE LIXO, CAPACIDADE MÍNIMA DE 100 LITROS, MICRA DE 0,006, DE COR CINZA OU PRETO </t>
  </si>
  <si>
    <t>Coletor de resíduos vegetais</t>
  </si>
  <si>
    <t>Qtde. Anual</t>
  </si>
  <si>
    <t>Qtde de km/mês/veículo</t>
  </si>
  <si>
    <t>Percentual IPVA</t>
  </si>
  <si>
    <t>Custo de manutenção durante a vida útil</t>
  </si>
  <si>
    <t>Valor por litro (R$/L)</t>
  </si>
  <si>
    <t>Consumo por litro (Km/L)</t>
  </si>
  <si>
    <t>Categoria profissional</t>
  </si>
  <si>
    <t>Regime de trabalho</t>
  </si>
  <si>
    <t>Carga horária mensal</t>
  </si>
  <si>
    <t>Farão jus a verba de Feriado trabalhado</t>
  </si>
  <si>
    <t>NÃO</t>
  </si>
  <si>
    <t>Salário mínimo vigente</t>
  </si>
  <si>
    <t>Salário normativo - 44 horas semanais</t>
  </si>
  <si>
    <t>Valor do salário a ser pago</t>
  </si>
  <si>
    <t>VALE TRANSPORTE</t>
  </si>
  <si>
    <t>Valor do vale transporte</t>
  </si>
  <si>
    <t>Quantidade diária utilizada</t>
  </si>
  <si>
    <t>Qtde de dias por mês</t>
  </si>
  <si>
    <t>Desconto do funcionário</t>
  </si>
  <si>
    <t>AUXÍLIO ALIMENTAÇÃO</t>
  </si>
  <si>
    <t>Auxílio alimentação conforme CCT</t>
  </si>
  <si>
    <t>Desconto permitido s/ auxílio alimentação</t>
  </si>
  <si>
    <t>Desconto permitido</t>
  </si>
  <si>
    <t>OUTROS BENEFÍCIOS</t>
  </si>
  <si>
    <t>Fundo de Formação Profissional</t>
  </si>
  <si>
    <t>Outros benefícios (especificar)</t>
  </si>
  <si>
    <t>Operador de roçadeira</t>
  </si>
  <si>
    <t>Coletor de Resíduos</t>
  </si>
  <si>
    <t>INFORMAÇÕES INICIAIS RELATIVAS À MÃO-DE-OBRA</t>
  </si>
  <si>
    <t>PRODUTIVIDADE</t>
  </si>
  <si>
    <t>M²/ MÊS (área)</t>
  </si>
  <si>
    <t>produtividade em m² (r )</t>
  </si>
  <si>
    <t>Quantidade de operadores de roçadeira (n)</t>
  </si>
  <si>
    <t>Fórmula</t>
  </si>
  <si>
    <t>Percentuais e/ou Estimativas de afastamento
(incidência anual)</t>
  </si>
  <si>
    <t>ENCARGOS SOCIAIS E TRABALHISTAS</t>
  </si>
  <si>
    <r>
      <t xml:space="preserve">PIS </t>
    </r>
    <r>
      <rPr>
        <b/>
        <sz val="10"/>
        <rFont val="Arial"/>
        <family val="2"/>
      </rPr>
      <t xml:space="preserve"> </t>
    </r>
  </si>
  <si>
    <t>INFORMAÇÕES QUANTO AO VEÍCULO A SER UTILIZADO</t>
  </si>
  <si>
    <t>Modelo: Veículo tipo pick-up, cabine dupla, básico, 0 km.</t>
  </si>
  <si>
    <t>Tipo de Combustível</t>
  </si>
  <si>
    <t>Custo de manutenção durante a vida útil (%)</t>
  </si>
  <si>
    <t>LITRO</t>
  </si>
  <si>
    <t>ÓLEO MOTOR 2 TEMPOS</t>
  </si>
  <si>
    <t>UNIFORME</t>
  </si>
  <si>
    <t>CUSTOS/ DESPESAS INDIRETAS E LUCRO</t>
  </si>
  <si>
    <t>Custos e Despesas indiretas</t>
  </si>
  <si>
    <t>Lucro</t>
  </si>
  <si>
    <t>DISCRIMINAÇÃO DOS SERVIÇOS</t>
  </si>
  <si>
    <t>Ano Acordo, Convenção ou Sentença Normativa em Dissídio coletivo</t>
  </si>
  <si>
    <t>Nº de meses de execução contratual</t>
  </si>
  <si>
    <t>IDENTIFICAÇÃO DA CATEGORIA PROFISSIONAL</t>
  </si>
  <si>
    <t>Salário Mínimo oficial vigente</t>
  </si>
  <si>
    <t>Salário normativo da categoria profissional</t>
  </si>
  <si>
    <t xml:space="preserve">Categoria profissional </t>
  </si>
  <si>
    <t>Data-base da categoria</t>
  </si>
  <si>
    <t>FORMAÇÃO DO CUSTO POR PROFISSIONAL</t>
  </si>
  <si>
    <t>1.1</t>
  </si>
  <si>
    <t>Composição da Remuneração:</t>
  </si>
  <si>
    <t>Valor (R$)</t>
  </si>
  <si>
    <t>Salário base</t>
  </si>
  <si>
    <t>Outros (especificar)</t>
  </si>
  <si>
    <t>Total de Remuneração</t>
  </si>
  <si>
    <t>1.2</t>
  </si>
  <si>
    <t>Benefícios</t>
  </si>
  <si>
    <t>Valor(R$)</t>
  </si>
  <si>
    <t>Auxílio alimentação (vales, cesta básica, etc.)</t>
  </si>
  <si>
    <t xml:space="preserve">Total de Benefícios </t>
  </si>
  <si>
    <t>1.4</t>
  </si>
  <si>
    <t>Encargos Socias e Trabalhistas</t>
  </si>
  <si>
    <t>Grupo A</t>
  </si>
  <si>
    <t>R$</t>
  </si>
  <si>
    <t>INSS</t>
  </si>
  <si>
    <t>SESI ou SESC</t>
  </si>
  <si>
    <t>SENAI ou SENAC</t>
  </si>
  <si>
    <t>Salário educação</t>
  </si>
  <si>
    <t>Seguro Acidente de Trabalho</t>
  </si>
  <si>
    <t>Total do GRUPO A</t>
  </si>
  <si>
    <t>Grupo B</t>
  </si>
  <si>
    <t>13º Salário</t>
  </si>
  <si>
    <t>Total do GRUPO B</t>
  </si>
  <si>
    <t xml:space="preserve">Férias </t>
  </si>
  <si>
    <t>Ausências legais</t>
  </si>
  <si>
    <t xml:space="preserve">Subtotal - Valor mensal da mão-de-obra </t>
  </si>
  <si>
    <t>Quantidade de meses</t>
  </si>
  <si>
    <t>SESI/SESC</t>
  </si>
  <si>
    <t>SENAI/ SENAC</t>
  </si>
  <si>
    <t>SALARÍO EDUCAÇÃO</t>
  </si>
  <si>
    <t>PISO SALARIAL E INSALUBRIDADE</t>
  </si>
  <si>
    <t>Percentual de insalubridade</t>
  </si>
  <si>
    <t>REMUNERAÇÃO</t>
  </si>
  <si>
    <t>ENCARGOS 
SOCIAIS e TRABALHISTAS</t>
  </si>
  <si>
    <t>Percentual de manutenção (anual)</t>
  </si>
  <si>
    <t>TOTAL (MENSAL) DO CUSTO COM VEÍCULO</t>
  </si>
  <si>
    <t>ESTIMATIVA DE CUSTO COM UNIFORMES POR FUNÇÃO</t>
  </si>
  <si>
    <t>QTDE ANUAL POR FUNÇÃO</t>
  </si>
  <si>
    <t>VALOR TOTAL</t>
  </si>
  <si>
    <t>TOTAL ANUAL</t>
  </si>
  <si>
    <t>TOTAL MENSAL</t>
  </si>
  <si>
    <t>DESCRIÇÃO DO VEÍCULO</t>
  </si>
  <si>
    <t>Outro (discriminar)</t>
  </si>
  <si>
    <t>Quantidade de veículo</t>
  </si>
  <si>
    <t>(C) INSUMOS</t>
  </si>
  <si>
    <t>Benefício Social Familiar</t>
  </si>
  <si>
    <t>Auxílio alimentação (ajuda de custo) - Equipe volante</t>
  </si>
  <si>
    <t>Auxílio Saúde/ Assistência médica</t>
  </si>
  <si>
    <t>Auxílio Saúde/ Assitência médica</t>
  </si>
  <si>
    <t>Fundo de Formação profissional</t>
  </si>
  <si>
    <t>Licenciamento</t>
  </si>
  <si>
    <t xml:space="preserve">IPVA, Licenciamento, Seguro DPVAT </t>
  </si>
  <si>
    <t>Pneu</t>
  </si>
  <si>
    <t>PNEUS</t>
  </si>
  <si>
    <t>Valor da troca de pneu</t>
  </si>
  <si>
    <t>Rodagem mês (km/mês)</t>
  </si>
  <si>
    <t>Km ciclo</t>
  </si>
  <si>
    <t>METRO</t>
  </si>
  <si>
    <t xml:space="preserve">FIO DE NYLON QUADRADO, 3mm, 2KG - PARA ROÇADEIRA </t>
  </si>
  <si>
    <t>Rodagem estimada (Km/mês)</t>
  </si>
  <si>
    <t>Quilometragem para troca</t>
  </si>
  <si>
    <t>Quantidade de litros por troca</t>
  </si>
  <si>
    <t>Óleo - Sistema do motor (preço por litro)</t>
  </si>
  <si>
    <t>Valor da troca de óleo</t>
  </si>
  <si>
    <t>Licenciamento obrigatório</t>
  </si>
  <si>
    <t>Quantidade de veículos</t>
  </si>
  <si>
    <t>Outro (especificar)</t>
  </si>
  <si>
    <t>Fator de utilização</t>
  </si>
  <si>
    <t>Incidência dos encargos previdenciários sobre 13º Salário e 1/3 de férias</t>
  </si>
  <si>
    <t>Incidência do FGTS sobre 13º Salário e 1/3 de férias</t>
  </si>
  <si>
    <t>Reposição de férias</t>
  </si>
  <si>
    <t>1/3 de Férias</t>
  </si>
  <si>
    <t>(B) UNIFORMES e EPIs</t>
  </si>
  <si>
    <t>(D) CUSTO COM EQUIPAMENTOS e MANUTENÇÃO</t>
  </si>
  <si>
    <t>(E) DESPESA COM VEÍCULOS (INCLUSAS TODAS AS DEPESAS DE OPERAÇÃO E MANUTENÇÃO, EXCETO MOTORISTA)</t>
  </si>
  <si>
    <t>(F) CUSTOS e DESPESAS INDIRETAS, LUCRO E TRIBUTOS</t>
  </si>
  <si>
    <t>Locação</t>
  </si>
  <si>
    <t>Gasolina</t>
  </si>
  <si>
    <t>Qtde de dias trabalhados no mês¹</t>
  </si>
  <si>
    <t>CUSTO ANUAL
 (6 ORDENS DE SERVIÇO)</t>
  </si>
  <si>
    <t>Coeficiente de apropriação de MO</t>
  </si>
  <si>
    <t>¹considera-se 21 dias para aferição do valor mensal. Todavia a apropriação deste ao custo por m² levará em conta o coeficiente de apropriação, o qual considera a produtividade e o tempo necessário para roçagem da aréa mensal total estimada</t>
  </si>
  <si>
    <t>Fator de utilização para apropriação do custo</t>
  </si>
  <si>
    <t>SUBTOTAL
(unitário)</t>
  </si>
  <si>
    <t>DADOS DO LOTE</t>
  </si>
  <si>
    <t>DADOS DA EMPRESA</t>
  </si>
  <si>
    <t>Razão Social</t>
  </si>
  <si>
    <t>Endereço</t>
  </si>
  <si>
    <t>Cnpj</t>
  </si>
  <si>
    <t>Data da proposta:</t>
  </si>
  <si>
    <t>Coeficiente</t>
  </si>
  <si>
    <t>TOTAL GERAL</t>
  </si>
  <si>
    <t>ÁREA TOTAL ANUAL 
(6 ORDENS DE SERVIÇO)</t>
  </si>
  <si>
    <t>Quantidade anual</t>
  </si>
  <si>
    <t>Coletor de resíduos</t>
  </si>
  <si>
    <t>EPI</t>
  </si>
  <si>
    <t xml:space="preserve">               Assinatura do responsável</t>
  </si>
  <si>
    <t>10 feriados nacionais, coincidindo 1 nos finais de semana</t>
  </si>
  <si>
    <t>Dias úteis em 2020</t>
  </si>
  <si>
    <t>CUSTO UNITÁRIO (R$)</t>
  </si>
  <si>
    <t>ÁREA TOTAL 
POR ORDEM DE SERVIÇO</t>
  </si>
  <si>
    <t>CUSTO TOTAL
POR ORDEM DE SERVIÇO</t>
  </si>
  <si>
    <t>CUSTO TOTAL ANUAL
 (6 ORDENS DE SERVIÇO)</t>
  </si>
  <si>
    <t>Qtde. anual</t>
  </si>
  <si>
    <r>
      <t>(G) VALOR CUSTO MENSAL</t>
    </r>
    <r>
      <rPr>
        <b/>
        <sz val="12"/>
        <color theme="1"/>
        <rFont val="Calibri (Corpo)"/>
      </rPr>
      <t xml:space="preserve"> </t>
    </r>
  </si>
  <si>
    <t>Percentual a ser pago</t>
  </si>
  <si>
    <t>Demissões sem justa causa - Aviso Previo Indenizado</t>
  </si>
  <si>
    <t>Demissões sem justa causa - Aviso Previo trabalhado</t>
  </si>
  <si>
    <t>G</t>
  </si>
  <si>
    <t>H</t>
  </si>
  <si>
    <t>A2</t>
  </si>
  <si>
    <t>B2</t>
  </si>
  <si>
    <t>Anexo V</t>
  </si>
  <si>
    <t>1.3</t>
  </si>
  <si>
    <t>Provisão para rescisão</t>
  </si>
  <si>
    <t>1.5</t>
  </si>
  <si>
    <t>Custo de reposição do profissional ausente</t>
  </si>
  <si>
    <t>Total de Encargos sociais e trabalhistas</t>
  </si>
  <si>
    <t>Total Provisão para rescisão</t>
  </si>
  <si>
    <t>Total Custo de reposição do profissional ausente</t>
  </si>
  <si>
    <t>RESUMO</t>
  </si>
  <si>
    <t>Total de Encargos Sociais e Trabalhistas</t>
  </si>
  <si>
    <t>PROVISÃO RESCISÃO E REPOSIÇAO</t>
  </si>
  <si>
    <t>MATO BEIRA ESTRADAS VICINAIS</t>
  </si>
  <si>
    <t>1º de janeiro</t>
  </si>
  <si>
    <t>HERBICIDA N- 30 GALÃO 20LITROS</t>
  </si>
  <si>
    <t>GALÃO</t>
  </si>
  <si>
    <t>Roçadeira Costal movida a gasolina, potência mínima de 52 cc</t>
  </si>
  <si>
    <t>Máquina passador de secante</t>
  </si>
  <si>
    <t>Jaqueta</t>
  </si>
  <si>
    <t>Camiseta branca de manga curta</t>
  </si>
  <si>
    <t>Protetor solar, fator 50</t>
  </si>
  <si>
    <t>kit 2 conjunto Pulverização Agrotoxico + 2 mascaras + 8 filtros sayro</t>
  </si>
  <si>
    <t>Repelente spray</t>
  </si>
  <si>
    <t>Estradas vicinais interior Município Faxinalzinho-RS</t>
  </si>
  <si>
    <t>PREFEITURA DE FAXINALZINHO</t>
  </si>
  <si>
    <t>92.453.851/0001-08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</si>
</sst>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(* 0.00%_);_(* \(0.00%\);_(* &quot;-&quot;??_);_(@_)"/>
    <numFmt numFmtId="168" formatCode="_-[$R$-416]\ * #,##0.00_-;\-[$R$-416]\ * #,##0.00_-;_-[$R$-416]\ * &quot;-&quot;??_-;_-@_-"/>
    <numFmt numFmtId="169" formatCode="_-[$R$-416]\ * #,##0.00000_-;\-[$R$-416]\ * #,##0.00000_-;_-[$R$-416]\ * &quot;-&quot;??_-;_-@_-"/>
    <numFmt numFmtId="170" formatCode="_(&quot;R$&quot;\ * #,##0.0000_);_(&quot;R$&quot;\ * \(#,##0.0000\);_(&quot;R$&quot;\ * &quot;-&quot;??_);_(@_)"/>
    <numFmt numFmtId="171" formatCode="&quot;R$&quot;\ #,##0.00"/>
    <numFmt numFmtId="172" formatCode="0\)"/>
    <numFmt numFmtId="173" formatCode="&quot;R$ &quot;#,##0.00"/>
    <numFmt numFmtId="174" formatCode="0.000%"/>
    <numFmt numFmtId="175" formatCode="_-[$R$-416]\ * #,##0.000_-;\-[$R$-416]\ * #,##0.000_-;_-[$R$-416]\ * &quot;-&quot;??_-;_-@_-"/>
    <numFmt numFmtId="176" formatCode="#,##0.000"/>
    <numFmt numFmtId="177" formatCode="_-&quot;R$&quot;\ * #,##0.000_-;\-&quot;R$&quot;\ * #,##0.000_-;_-&quot;R$&quot;\ * &quot;-&quot;??_-;_-@_-"/>
    <numFmt numFmtId="178" formatCode="0.0000"/>
    <numFmt numFmtId="179" formatCode="#,##0.0000_ ;\-#,##0.0000\ "/>
    <numFmt numFmtId="180" formatCode="_-[$R$-416]* #,##0.00_-;\-[$R$-416]* #,##0.00_-;_-[$R$-416]* &quot;-&quot;??_-;_-@_-"/>
    <numFmt numFmtId="181" formatCode="_-* #,##0_-;\-* #,##0_-;_-* \-??_-;_-@_-"/>
    <numFmt numFmtId="182" formatCode="0.000000"/>
    <numFmt numFmtId="183" formatCode="_-&quot;R$ &quot;* #,##0.00_-;&quot;-R$ &quot;* #,##0.00_-;_-&quot;R$ &quot;* \-??_-;_-@_-"/>
    <numFmt numFmtId="184" formatCode="_(&quot;R$ &quot;* #,##0.00_);_(&quot;R$ &quot;* \(#,##0.00\);_(&quot;R$ &quot;* \-??_);_(@_)"/>
    <numFmt numFmtId="185" formatCode="_(* #,##0.000_);_(* \(#,##0.000\);_(* &quot;-&quot;??_);_(@_)"/>
    <numFmt numFmtId="186" formatCode="_(* #,##0_);_(* \(#,##0\);_(* &quot;-&quot;??_);_(@_)"/>
    <numFmt numFmtId="187" formatCode="_(* #,##0.00000_);_(* \(#,##0.00000\);_(* &quot;-&quot;??_);_(@_)"/>
    <numFmt numFmtId="188" formatCode="_(&quot;R$ &quot;* #,##0.00_);_(&quot;R$ &quot;* \(#,##0.00\);_(&quot;R$ &quot;* &quot;-&quot;??_);_(@_)"/>
    <numFmt numFmtId="189" formatCode="_(* #,##0.0000_);_(* \(#,##0.0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b/>
      <sz val="8"/>
      <name val="Calibri (Corpo)"/>
    </font>
    <font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Corpo)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Segoe U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000099"/>
      <name val="Times New Roman"/>
      <family val="1"/>
    </font>
    <font>
      <b/>
      <sz val="14"/>
      <color rgb="FF000099"/>
      <name val="Calibri"/>
      <family val="2"/>
      <scheme val="minor"/>
    </font>
    <font>
      <sz val="11"/>
      <color rgb="FF000099"/>
      <name val="Arial"/>
      <family val="2"/>
    </font>
    <font>
      <sz val="12"/>
      <color rgb="FF000099"/>
      <name val="Arial"/>
      <family val="2"/>
    </font>
    <font>
      <sz val="9"/>
      <color indexed="81"/>
      <name val="Segoe UI"/>
      <family val="2"/>
    </font>
    <font>
      <sz val="11"/>
      <name val="Arial"/>
      <family val="2"/>
    </font>
    <font>
      <b/>
      <sz val="16"/>
      <color rgb="FF00009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9" tint="0.79998168889431442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44" fontId="3" fillId="0" borderId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46">
    <xf numFmtId="0" fontId="0" fillId="0" borderId="0" xfId="0"/>
    <xf numFmtId="0" fontId="6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1" fontId="1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2" fontId="17" fillId="0" borderId="0" xfId="0" applyNumberFormat="1" applyFont="1" applyAlignment="1">
      <alignment horizontal="center" vertical="center" wrapText="1"/>
    </xf>
    <xf numFmtId="2" fontId="17" fillId="3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2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0" fillId="0" borderId="0" xfId="0" applyFont="1" applyAlignment="1">
      <alignment horizontal="left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44" fontId="0" fillId="0" borderId="0" xfId="0" applyNumberFormat="1" applyAlignment="1">
      <alignment horizontal="center" vertical="center" wrapText="1"/>
    </xf>
    <xf numFmtId="168" fontId="5" fillId="0" borderId="0" xfId="5" applyNumberFormat="1" applyFont="1" applyAlignment="1">
      <alignment horizontal="center" vertical="center"/>
    </xf>
    <xf numFmtId="169" fontId="6" fillId="0" borderId="0" xfId="4" applyNumberFormat="1" applyFont="1" applyAlignment="1">
      <alignment horizontal="left" vertical="center"/>
    </xf>
    <xf numFmtId="169" fontId="5" fillId="0" borderId="0" xfId="5" applyNumberFormat="1" applyFont="1" applyAlignment="1">
      <alignment horizontal="center" vertical="center"/>
    </xf>
    <xf numFmtId="168" fontId="2" fillId="0" borderId="7" xfId="0" applyNumberFormat="1" applyFont="1" applyBorder="1"/>
    <xf numFmtId="10" fontId="6" fillId="0" borderId="0" xfId="6" applyNumberFormat="1" applyFont="1" applyAlignment="1">
      <alignment horizontal="center" vertical="center"/>
    </xf>
    <xf numFmtId="2" fontId="6" fillId="0" borderId="0" xfId="4" applyNumberFormat="1" applyFont="1" applyAlignment="1">
      <alignment horizontal="center" vertical="center"/>
    </xf>
    <xf numFmtId="168" fontId="10" fillId="0" borderId="0" xfId="4" applyNumberFormat="1" applyFont="1" applyAlignment="1">
      <alignment horizontal="center" vertical="center"/>
    </xf>
    <xf numFmtId="168" fontId="13" fillId="4" borderId="13" xfId="5" applyNumberFormat="1" applyFont="1" applyFill="1" applyBorder="1" applyAlignment="1">
      <alignment horizontal="center" vertical="center"/>
    </xf>
    <xf numFmtId="10" fontId="4" fillId="0" borderId="0" xfId="2" applyNumberFormat="1" applyFont="1" applyAlignment="1">
      <alignment horizontal="right" vertical="center"/>
    </xf>
    <xf numFmtId="0" fontId="3" fillId="0" borderId="0" xfId="0" applyFont="1"/>
    <xf numFmtId="0" fontId="16" fillId="0" borderId="0" xfId="0" applyFont="1"/>
    <xf numFmtId="0" fontId="16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166" fontId="2" fillId="0" borderId="0" xfId="1" applyFont="1"/>
    <xf numFmtId="166" fontId="0" fillId="0" borderId="0" xfId="1" applyFont="1"/>
    <xf numFmtId="0" fontId="15" fillId="0" borderId="0" xfId="0" applyFont="1" applyAlignment="1">
      <alignment horizontal="center" vertical="center" wrapText="1"/>
    </xf>
    <xf numFmtId="0" fontId="25" fillId="0" borderId="0" xfId="0" applyFont="1"/>
    <xf numFmtId="0" fontId="24" fillId="9" borderId="53" xfId="0" applyFont="1" applyFill="1" applyBorder="1" applyAlignment="1">
      <alignment horizontal="center" vertical="center"/>
    </xf>
    <xf numFmtId="0" fontId="24" fillId="9" borderId="54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55" xfId="0" applyFont="1" applyFill="1" applyBorder="1" applyAlignment="1">
      <alignment horizontal="center" vertical="center"/>
    </xf>
    <xf numFmtId="0" fontId="24" fillId="9" borderId="56" xfId="0" applyFont="1" applyFill="1" applyBorder="1" applyAlignment="1">
      <alignment horizontal="center" vertical="center" wrapText="1"/>
    </xf>
    <xf numFmtId="0" fontId="24" fillId="9" borderId="57" xfId="0" applyFont="1" applyFill="1" applyBorder="1" applyAlignment="1">
      <alignment horizontal="center" vertical="center" wrapText="1"/>
    </xf>
    <xf numFmtId="0" fontId="0" fillId="0" borderId="0" xfId="0" applyBorder="1"/>
    <xf numFmtId="166" fontId="3" fillId="10" borderId="48" xfId="1" applyFont="1" applyFill="1" applyBorder="1" applyAlignment="1" applyProtection="1">
      <alignment horizontal="center"/>
    </xf>
    <xf numFmtId="166" fontId="25" fillId="10" borderId="59" xfId="1" applyFont="1" applyFill="1" applyBorder="1" applyAlignment="1" applyProtection="1"/>
    <xf numFmtId="0" fontId="25" fillId="11" borderId="58" xfId="0" applyFont="1" applyFill="1" applyBorder="1"/>
    <xf numFmtId="0" fontId="25" fillId="11" borderId="47" xfId="0" applyFont="1" applyFill="1" applyBorder="1"/>
    <xf numFmtId="0" fontId="3" fillId="11" borderId="47" xfId="0" applyFont="1" applyFill="1" applyBorder="1"/>
    <xf numFmtId="0" fontId="25" fillId="11" borderId="47" xfId="0" applyFont="1" applyFill="1" applyBorder="1" applyAlignment="1">
      <alignment horizontal="left" vertical="center"/>
    </xf>
    <xf numFmtId="0" fontId="3" fillId="11" borderId="50" xfId="0" applyFont="1" applyFill="1" applyBorder="1"/>
    <xf numFmtId="0" fontId="25" fillId="11" borderId="64" xfId="0" applyFont="1" applyFill="1" applyBorder="1"/>
    <xf numFmtId="166" fontId="25" fillId="10" borderId="65" xfId="1" applyFont="1" applyFill="1" applyBorder="1" applyAlignment="1" applyProtection="1"/>
    <xf numFmtId="0" fontId="25" fillId="11" borderId="67" xfId="0" applyFont="1" applyFill="1" applyBorder="1"/>
    <xf numFmtId="0" fontId="3" fillId="11" borderId="67" xfId="0" applyFont="1" applyFill="1" applyBorder="1"/>
    <xf numFmtId="166" fontId="25" fillId="10" borderId="65" xfId="1" applyFont="1" applyFill="1" applyBorder="1" applyAlignment="1" applyProtection="1">
      <alignment horizontal="center"/>
    </xf>
    <xf numFmtId="166" fontId="25" fillId="10" borderId="66" xfId="1" applyFont="1" applyFill="1" applyBorder="1" applyAlignment="1" applyProtection="1"/>
    <xf numFmtId="0" fontId="25" fillId="11" borderId="70" xfId="0" applyFont="1" applyFill="1" applyBorder="1"/>
    <xf numFmtId="166" fontId="25" fillId="10" borderId="71" xfId="1" applyFont="1" applyFill="1" applyBorder="1" applyAlignment="1" applyProtection="1"/>
    <xf numFmtId="166" fontId="25" fillId="10" borderId="72" xfId="1" applyFont="1" applyFill="1" applyBorder="1" applyAlignment="1" applyProtection="1"/>
    <xf numFmtId="166" fontId="25" fillId="10" borderId="60" xfId="1" applyFont="1" applyFill="1" applyBorder="1" applyAlignment="1" applyProtection="1"/>
    <xf numFmtId="0" fontId="16" fillId="0" borderId="0" xfId="0" applyFont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6" fillId="0" borderId="74" xfId="0" applyFont="1" applyBorder="1"/>
    <xf numFmtId="0" fontId="16" fillId="0" borderId="75" xfId="0" applyFont="1" applyBorder="1"/>
    <xf numFmtId="0" fontId="16" fillId="0" borderId="76" xfId="0" applyFont="1" applyBorder="1"/>
    <xf numFmtId="0" fontId="16" fillId="0" borderId="0" xfId="0" applyFont="1" applyBorder="1"/>
    <xf numFmtId="0" fontId="16" fillId="0" borderId="3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15" fillId="2" borderId="31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right"/>
    </xf>
    <xf numFmtId="0" fontId="16" fillId="2" borderId="63" xfId="0" applyFont="1" applyFill="1" applyBorder="1"/>
    <xf numFmtId="0" fontId="16" fillId="2" borderId="62" xfId="0" applyFont="1" applyFill="1" applyBorder="1"/>
    <xf numFmtId="0" fontId="16" fillId="0" borderId="3" xfId="0" applyFont="1" applyBorder="1"/>
    <xf numFmtId="0" fontId="16" fillId="0" borderId="0" xfId="0" applyFont="1" applyAlignment="1">
      <alignment horizontal="center" vertical="center"/>
    </xf>
    <xf numFmtId="0" fontId="16" fillId="0" borderId="4" xfId="0" applyFont="1" applyBorder="1"/>
    <xf numFmtId="0" fontId="16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11" borderId="33" xfId="0" applyFont="1" applyFill="1" applyBorder="1" applyAlignment="1">
      <alignment vertical="top"/>
    </xf>
    <xf numFmtId="0" fontId="15" fillId="0" borderId="0" xfId="0" applyFont="1" applyAlignment="1">
      <alignment vertical="center"/>
    </xf>
    <xf numFmtId="0" fontId="27" fillId="0" borderId="0" xfId="7" applyFont="1"/>
    <xf numFmtId="177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171" fontId="16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168" fontId="3" fillId="0" borderId="9" xfId="4" applyNumberFormat="1" applyFont="1" applyBorder="1" applyAlignment="1">
      <alignment horizontal="center" vertical="center"/>
    </xf>
    <xf numFmtId="1" fontId="3" fillId="0" borderId="0" xfId="5" applyNumberFormat="1" applyFont="1" applyAlignment="1">
      <alignment horizontal="center" vertical="center"/>
    </xf>
    <xf numFmtId="10" fontId="16" fillId="7" borderId="32" xfId="0" applyNumberFormat="1" applyFont="1" applyFill="1" applyBorder="1" applyAlignment="1" applyProtection="1">
      <alignment horizontal="center" vertical="center"/>
      <protection locked="0"/>
    </xf>
    <xf numFmtId="10" fontId="16" fillId="7" borderId="35" xfId="0" applyNumberFormat="1" applyFont="1" applyFill="1" applyBorder="1" applyAlignment="1" applyProtection="1">
      <alignment horizontal="center" vertical="center"/>
      <protection locked="0"/>
    </xf>
    <xf numFmtId="0" fontId="16" fillId="8" borderId="79" xfId="0" applyFont="1" applyFill="1" applyBorder="1" applyAlignment="1">
      <alignment horizontal="left" vertical="center"/>
    </xf>
    <xf numFmtId="4" fontId="3" fillId="8" borderId="79" xfId="8" applyNumberFormat="1" applyFont="1" applyFill="1" applyBorder="1" applyAlignment="1">
      <alignment horizontal="left" vertical="center"/>
    </xf>
    <xf numFmtId="166" fontId="16" fillId="7" borderId="80" xfId="1" applyFont="1" applyFill="1" applyBorder="1" applyAlignment="1" applyProtection="1">
      <alignment horizontal="center" vertical="center" wrapText="1"/>
      <protection locked="0"/>
    </xf>
    <xf numFmtId="166" fontId="16" fillId="7" borderId="80" xfId="1" applyFont="1" applyFill="1" applyBorder="1" applyAlignment="1" applyProtection="1">
      <alignment horizontal="center" vertical="center"/>
      <protection locked="0"/>
    </xf>
    <xf numFmtId="44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85" xfId="0" applyFont="1" applyFill="1" applyBorder="1" applyAlignment="1">
      <alignment horizontal="center" vertical="center"/>
    </xf>
    <xf numFmtId="0" fontId="4" fillId="4" borderId="29" xfId="4" applyFont="1" applyFill="1" applyBorder="1" applyAlignment="1">
      <alignment vertical="center"/>
    </xf>
    <xf numFmtId="0" fontId="3" fillId="2" borderId="17" xfId="4" applyFont="1" applyFill="1" applyBorder="1" applyAlignment="1">
      <alignment horizontal="left" vertical="center"/>
    </xf>
    <xf numFmtId="0" fontId="3" fillId="2" borderId="33" xfId="4" applyFont="1" applyFill="1" applyBorder="1" applyAlignment="1">
      <alignment horizontal="left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77" xfId="0" applyFont="1" applyFill="1" applyBorder="1" applyAlignment="1">
      <alignment horizontal="center" vertical="center"/>
    </xf>
    <xf numFmtId="0" fontId="15" fillId="4" borderId="84" xfId="0" applyFont="1" applyFill="1" applyBorder="1" applyAlignment="1">
      <alignment horizontal="center" vertical="center"/>
    </xf>
    <xf numFmtId="0" fontId="3" fillId="2" borderId="79" xfId="4" applyFont="1" applyFill="1" applyBorder="1" applyAlignment="1">
      <alignment horizontal="left" vertical="center" wrapText="1"/>
    </xf>
    <xf numFmtId="0" fontId="15" fillId="4" borderId="78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25" fillId="9" borderId="86" xfId="0" applyFont="1" applyFill="1" applyBorder="1"/>
    <xf numFmtId="10" fontId="25" fillId="9" borderId="87" xfId="0" applyNumberFormat="1" applyFont="1" applyFill="1" applyBorder="1" applyAlignment="1">
      <alignment horizontal="center" vertical="center"/>
    </xf>
    <xf numFmtId="0" fontId="25" fillId="9" borderId="8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25" fillId="0" borderId="0" xfId="0" applyNumberFormat="1" applyFont="1" applyAlignment="1">
      <alignment horizontal="center" vertical="center"/>
    </xf>
    <xf numFmtId="10" fontId="25" fillId="0" borderId="0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0" fontId="25" fillId="9" borderId="87" xfId="2" applyNumberFormat="1" applyFont="1" applyFill="1" applyBorder="1" applyAlignment="1" applyProtection="1">
      <alignment horizontal="center" vertical="center"/>
    </xf>
    <xf numFmtId="0" fontId="25" fillId="9" borderId="88" xfId="0" applyFont="1" applyFill="1" applyBorder="1" applyAlignment="1">
      <alignment vertical="center"/>
    </xf>
    <xf numFmtId="0" fontId="4" fillId="0" borderId="94" xfId="0" applyFont="1" applyBorder="1" applyAlignment="1">
      <alignment horizontal="center" vertical="center"/>
    </xf>
    <xf numFmtId="10" fontId="4" fillId="0" borderId="95" xfId="2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173" fontId="25" fillId="0" borderId="90" xfId="0" applyNumberFormat="1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0" xfId="2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173" fontId="4" fillId="0" borderId="90" xfId="0" applyNumberFormat="1" applyFont="1" applyBorder="1" applyAlignment="1">
      <alignment vertical="center"/>
    </xf>
    <xf numFmtId="0" fontId="25" fillId="0" borderId="91" xfId="0" applyFont="1" applyBorder="1" applyAlignment="1">
      <alignment horizontal="center" vertical="center"/>
    </xf>
    <xf numFmtId="10" fontId="25" fillId="0" borderId="92" xfId="2" applyNumberFormat="1" applyFont="1" applyFill="1" applyBorder="1" applyAlignment="1" applyProtection="1">
      <alignment horizontal="center" vertical="center"/>
    </xf>
    <xf numFmtId="0" fontId="25" fillId="0" borderId="93" xfId="0" applyFont="1" applyBorder="1" applyAlignment="1">
      <alignment vertical="center"/>
    </xf>
    <xf numFmtId="10" fontId="25" fillId="0" borderId="95" xfId="2" applyNumberFormat="1" applyFont="1" applyFill="1" applyBorder="1" applyAlignment="1" applyProtection="1">
      <alignment horizontal="center"/>
    </xf>
    <xf numFmtId="0" fontId="4" fillId="0" borderId="96" xfId="0" applyFont="1" applyBorder="1" applyAlignment="1">
      <alignment vertical="center"/>
    </xf>
    <xf numFmtId="10" fontId="25" fillId="0" borderId="0" xfId="2" applyNumberFormat="1" applyFont="1" applyFill="1" applyBorder="1" applyAlignment="1" applyProtection="1">
      <alignment horizontal="center"/>
    </xf>
    <xf numFmtId="0" fontId="4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10" fontId="25" fillId="0" borderId="92" xfId="2" applyNumberFormat="1" applyFont="1" applyFill="1" applyBorder="1" applyAlignment="1" applyProtection="1">
      <alignment horizontal="center"/>
    </xf>
    <xf numFmtId="173" fontId="4" fillId="0" borderId="9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5" xfId="0" applyFont="1" applyBorder="1" applyAlignment="1">
      <alignment horizontal="left" vertical="center"/>
    </xf>
    <xf numFmtId="0" fontId="4" fillId="0" borderId="95" xfId="0" applyFont="1" applyBorder="1" applyAlignment="1">
      <alignment vertical="center"/>
    </xf>
    <xf numFmtId="10" fontId="4" fillId="0" borderId="95" xfId="0" applyNumberFormat="1" applyFont="1" applyBorder="1" applyAlignment="1">
      <alignment horizontal="center" vertical="center"/>
    </xf>
    <xf numFmtId="0" fontId="25" fillId="0" borderId="89" xfId="0" applyFont="1" applyBorder="1"/>
    <xf numFmtId="0" fontId="4" fillId="0" borderId="0" xfId="0" applyFont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165" fontId="3" fillId="0" borderId="90" xfId="3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84" fontId="4" fillId="0" borderId="90" xfId="0" applyNumberFormat="1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30" fillId="0" borderId="90" xfId="0" applyFont="1" applyBorder="1" applyAlignment="1">
      <alignment vertical="center"/>
    </xf>
    <xf numFmtId="173" fontId="3" fillId="0" borderId="90" xfId="0" applyNumberFormat="1" applyFont="1" applyBorder="1" applyAlignment="1">
      <alignment horizontal="right" vertical="center"/>
    </xf>
    <xf numFmtId="0" fontId="24" fillId="0" borderId="8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3" fontId="4" fillId="0" borderId="90" xfId="0" applyNumberFormat="1" applyFont="1" applyBorder="1" applyAlignment="1">
      <alignment horizontal="right" vertical="center"/>
    </xf>
    <xf numFmtId="174" fontId="3" fillId="0" borderId="0" xfId="2" applyNumberFormat="1" applyFont="1" applyFill="1" applyBorder="1" applyAlignment="1" applyProtection="1">
      <alignment horizontal="center" vertical="center"/>
    </xf>
    <xf numFmtId="173" fontId="25" fillId="0" borderId="90" xfId="0" applyNumberFormat="1" applyFont="1" applyBorder="1" applyAlignment="1">
      <alignment horizontal="right" vertical="center"/>
    </xf>
    <xf numFmtId="173" fontId="24" fillId="0" borderId="90" xfId="0" applyNumberFormat="1" applyFont="1" applyBorder="1" applyAlignment="1">
      <alignment horizontal="right" vertical="center"/>
    </xf>
    <xf numFmtId="0" fontId="24" fillId="0" borderId="8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1" fontId="3" fillId="0" borderId="0" xfId="5" applyNumberFormat="1" applyFont="1" applyFill="1" applyBorder="1" applyAlignment="1" applyProtection="1">
      <alignment horizontal="center" vertical="center"/>
      <protection locked="0"/>
    </xf>
    <xf numFmtId="168" fontId="3" fillId="0" borderId="0" xfId="4" applyNumberFormat="1" applyFont="1" applyFill="1" applyBorder="1" applyAlignment="1" applyProtection="1">
      <alignment horizontal="center" vertical="center"/>
      <protection locked="0"/>
    </xf>
    <xf numFmtId="44" fontId="3" fillId="0" borderId="9" xfId="4" applyNumberFormat="1" applyFont="1" applyBorder="1" applyAlignment="1">
      <alignment horizontal="center" vertical="center"/>
    </xf>
    <xf numFmtId="2" fontId="3" fillId="0" borderId="9" xfId="4" applyNumberFormat="1" applyFont="1" applyBorder="1" applyAlignment="1">
      <alignment horizontal="center" vertical="center"/>
    </xf>
    <xf numFmtId="168" fontId="3" fillId="0" borderId="5" xfId="4" applyNumberFormat="1" applyFont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175" fontId="3" fillId="0" borderId="9" xfId="4" applyNumberFormat="1" applyFont="1" applyBorder="1" applyAlignment="1">
      <alignment horizontal="center" vertical="center"/>
    </xf>
    <xf numFmtId="1" fontId="4" fillId="0" borderId="0" xfId="5" applyNumberFormat="1" applyFont="1" applyAlignment="1">
      <alignment horizontal="right" vertical="center"/>
    </xf>
    <xf numFmtId="168" fontId="4" fillId="0" borderId="0" xfId="4" applyNumberFormat="1" applyFont="1" applyAlignment="1">
      <alignment horizontal="center" vertical="center"/>
    </xf>
    <xf numFmtId="2" fontId="16" fillId="0" borderId="0" xfId="0" applyNumberFormat="1" applyFont="1"/>
    <xf numFmtId="0" fontId="15" fillId="4" borderId="101" xfId="0" applyFont="1" applyFill="1" applyBorder="1" applyAlignment="1">
      <alignment horizontal="center" vertical="center"/>
    </xf>
    <xf numFmtId="0" fontId="3" fillId="11" borderId="106" xfId="0" applyFont="1" applyFill="1" applyBorder="1" applyAlignment="1">
      <alignment vertical="top"/>
    </xf>
    <xf numFmtId="0" fontId="15" fillId="4" borderId="38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8" fontId="4" fillId="4" borderId="31" xfId="4" applyNumberFormat="1" applyFont="1" applyFill="1" applyBorder="1" applyAlignment="1">
      <alignment horizontal="center" vertical="center"/>
    </xf>
    <xf numFmtId="168" fontId="4" fillId="4" borderId="34" xfId="4" applyNumberFormat="1" applyFont="1" applyFill="1" applyBorder="1" applyAlignment="1">
      <alignment horizontal="center" vertical="center"/>
    </xf>
    <xf numFmtId="168" fontId="4" fillId="4" borderId="35" xfId="4" applyNumberFormat="1" applyFont="1" applyFill="1" applyBorder="1" applyAlignment="1">
      <alignment horizontal="center" vertical="center"/>
    </xf>
    <xf numFmtId="168" fontId="3" fillId="0" borderId="27" xfId="4" applyNumberFormat="1" applyFont="1" applyFill="1" applyBorder="1" applyAlignment="1">
      <alignment horizontal="center" vertical="center"/>
    </xf>
    <xf numFmtId="0" fontId="3" fillId="2" borderId="112" xfId="4" applyFont="1" applyFill="1" applyBorder="1" applyAlignment="1">
      <alignment horizontal="left" vertical="center" wrapText="1"/>
    </xf>
    <xf numFmtId="0" fontId="16" fillId="0" borderId="113" xfId="0" applyFont="1" applyBorder="1" applyAlignment="1">
      <alignment horizontal="center" vertical="center"/>
    </xf>
    <xf numFmtId="168" fontId="3" fillId="0" borderId="113" xfId="4" applyNumberFormat="1" applyFont="1" applyBorder="1" applyAlignment="1">
      <alignment horizontal="center" vertical="center"/>
    </xf>
    <xf numFmtId="2" fontId="3" fillId="0" borderId="113" xfId="4" applyNumberFormat="1" applyFont="1" applyBorder="1" applyAlignment="1">
      <alignment horizontal="center" vertical="center"/>
    </xf>
    <xf numFmtId="44" fontId="3" fillId="0" borderId="113" xfId="4" applyNumberFormat="1" applyFont="1" applyBorder="1" applyAlignment="1">
      <alignment horizontal="center" vertical="center"/>
    </xf>
    <xf numFmtId="168" fontId="3" fillId="0" borderId="114" xfId="4" applyNumberFormat="1" applyFont="1" applyBorder="1" applyAlignment="1">
      <alignment horizontal="center" vertical="center"/>
    </xf>
    <xf numFmtId="168" fontId="3" fillId="0" borderId="115" xfId="4" applyNumberFormat="1" applyFont="1" applyFill="1" applyBorder="1" applyAlignment="1">
      <alignment horizontal="center" vertical="center"/>
    </xf>
    <xf numFmtId="168" fontId="4" fillId="2" borderId="116" xfId="4" applyNumberFormat="1" applyFont="1" applyFill="1" applyBorder="1" applyAlignment="1">
      <alignment horizontal="center" vertical="center"/>
    </xf>
    <xf numFmtId="168" fontId="4" fillId="2" borderId="117" xfId="4" applyNumberFormat="1" applyFont="1" applyFill="1" applyBorder="1" applyAlignment="1">
      <alignment horizontal="center" vertical="center"/>
    </xf>
    <xf numFmtId="168" fontId="4" fillId="2" borderId="61" xfId="4" applyNumberFormat="1" applyFont="1" applyFill="1" applyBorder="1" applyAlignment="1">
      <alignment horizontal="center" vertical="center"/>
    </xf>
    <xf numFmtId="4" fontId="4" fillId="0" borderId="15" xfId="8" applyNumberFormat="1" applyFont="1" applyBorder="1" applyAlignment="1">
      <alignment vertical="center"/>
    </xf>
    <xf numFmtId="4" fontId="3" fillId="0" borderId="0" xfId="8" applyNumberFormat="1" applyFont="1" applyBorder="1" applyAlignment="1">
      <alignment horizontal="left" vertical="center" wrapText="1"/>
    </xf>
    <xf numFmtId="4" fontId="3" fillId="0" borderId="28" xfId="8" applyNumberFormat="1" applyFont="1" applyBorder="1" applyAlignment="1">
      <alignment horizontal="left" vertical="center" wrapText="1"/>
    </xf>
    <xf numFmtId="4" fontId="3" fillId="2" borderId="79" xfId="8" applyNumberFormat="1" applyFont="1" applyFill="1" applyBorder="1" applyAlignment="1">
      <alignment vertical="center"/>
    </xf>
    <xf numFmtId="3" fontId="3" fillId="2" borderId="109" xfId="8" applyNumberFormat="1" applyFont="1" applyFill="1" applyBorder="1" applyAlignment="1">
      <alignment horizontal="center" vertical="center" wrapText="1"/>
    </xf>
    <xf numFmtId="0" fontId="16" fillId="0" borderId="28" xfId="0" applyFont="1" applyBorder="1"/>
    <xf numFmtId="4" fontId="4" fillId="0" borderId="0" xfId="8" applyNumberFormat="1" applyFont="1" applyBorder="1" applyAlignment="1">
      <alignment vertical="center"/>
    </xf>
    <xf numFmtId="4" fontId="4" fillId="0" borderId="0" xfId="8" applyNumberFormat="1" applyFont="1" applyBorder="1" applyAlignment="1">
      <alignment horizontal="center" vertical="center"/>
    </xf>
    <xf numFmtId="4" fontId="4" fillId="0" borderId="28" xfId="8" applyNumberFormat="1" applyFont="1" applyBorder="1" applyAlignment="1">
      <alignment vertical="center"/>
    </xf>
    <xf numFmtId="4" fontId="33" fillId="0" borderId="15" xfId="8" applyNumberFormat="1" applyFont="1" applyBorder="1" applyAlignment="1">
      <alignment vertical="center"/>
    </xf>
    <xf numFmtId="4" fontId="3" fillId="0" borderId="15" xfId="8" applyNumberFormat="1" applyFont="1" applyBorder="1" applyAlignment="1">
      <alignment vertical="center"/>
    </xf>
    <xf numFmtId="4" fontId="3" fillId="0" borderId="0" xfId="8" applyNumberFormat="1" applyFont="1" applyBorder="1" applyAlignment="1">
      <alignment vertical="center"/>
    </xf>
    <xf numFmtId="4" fontId="3" fillId="0" borderId="0" xfId="8" applyNumberFormat="1" applyFont="1" applyBorder="1" applyAlignment="1">
      <alignment horizontal="left" vertical="center"/>
    </xf>
    <xf numFmtId="4" fontId="3" fillId="0" borderId="28" xfId="8" applyNumberFormat="1" applyFont="1" applyBorder="1" applyAlignment="1">
      <alignment vertical="center"/>
    </xf>
    <xf numFmtId="4" fontId="3" fillId="0" borderId="0" xfId="8" applyNumberFormat="1" applyFont="1" applyBorder="1" applyAlignment="1">
      <alignment horizontal="center" vertical="center"/>
    </xf>
    <xf numFmtId="176" fontId="3" fillId="0" borderId="0" xfId="8" applyNumberFormat="1" applyFont="1" applyBorder="1" applyAlignment="1">
      <alignment vertical="center"/>
    </xf>
    <xf numFmtId="4" fontId="4" fillId="0" borderId="0" xfId="8" applyNumberFormat="1" applyFont="1" applyBorder="1" applyAlignment="1">
      <alignment horizontal="left" vertical="center"/>
    </xf>
    <xf numFmtId="4" fontId="4" fillId="2" borderId="110" xfId="8" applyNumberFormat="1" applyFont="1" applyFill="1" applyBorder="1" applyAlignment="1">
      <alignment vertical="center"/>
    </xf>
    <xf numFmtId="173" fontId="4" fillId="2" borderId="23" xfId="8" applyNumberFormat="1" applyFont="1" applyFill="1" applyBorder="1" applyAlignment="1">
      <alignment vertical="center"/>
    </xf>
    <xf numFmtId="171" fontId="3" fillId="0" borderId="0" xfId="8" applyNumberFormat="1" applyFont="1" applyBorder="1" applyAlignment="1">
      <alignment horizontal="right" vertical="center" shrinkToFit="1"/>
    </xf>
    <xf numFmtId="171" fontId="4" fillId="0" borderId="0" xfId="8" applyNumberFormat="1" applyFont="1" applyAlignment="1">
      <alignment horizontal="left" vertical="center" wrapText="1" shrinkToFit="1"/>
    </xf>
    <xf numFmtId="10" fontId="3" fillId="0" borderId="0" xfId="8" applyNumberFormat="1" applyFont="1" applyBorder="1" applyAlignment="1">
      <alignment vertical="center" shrinkToFit="1"/>
    </xf>
    <xf numFmtId="2" fontId="3" fillId="0" borderId="0" xfId="8" applyNumberFormat="1" applyFont="1" applyBorder="1" applyAlignment="1">
      <alignment horizontal="right" vertical="center" shrinkToFit="1"/>
    </xf>
    <xf numFmtId="1" fontId="3" fillId="0" borderId="0" xfId="8" applyNumberFormat="1" applyFont="1" applyBorder="1" applyAlignment="1">
      <alignment vertical="center" shrinkToFit="1"/>
    </xf>
    <xf numFmtId="171" fontId="4" fillId="2" borderId="23" xfId="8" applyNumberFormat="1" applyFont="1" applyFill="1" applyBorder="1" applyAlignment="1">
      <alignment horizontal="right" vertical="center" shrinkToFit="1"/>
    </xf>
    <xf numFmtId="171" fontId="4" fillId="0" borderId="0" xfId="8" applyNumberFormat="1" applyFont="1" applyBorder="1" applyAlignment="1">
      <alignment vertical="center" shrinkToFit="1"/>
    </xf>
    <xf numFmtId="171" fontId="3" fillId="0" borderId="28" xfId="8" applyNumberFormat="1" applyFont="1" applyBorder="1" applyAlignment="1">
      <alignment vertical="center" shrinkToFit="1"/>
    </xf>
    <xf numFmtId="4" fontId="3" fillId="0" borderId="0" xfId="8" applyNumberFormat="1" applyFont="1" applyBorder="1" applyAlignment="1">
      <alignment horizontal="right" vertical="center"/>
    </xf>
    <xf numFmtId="171" fontId="4" fillId="2" borderId="23" xfId="8" applyNumberFormat="1" applyFont="1" applyFill="1" applyBorder="1" applyAlignment="1">
      <alignment vertical="center" shrinkToFit="1"/>
    </xf>
    <xf numFmtId="171" fontId="3" fillId="0" borderId="0" xfId="8" applyNumberFormat="1" applyFont="1" applyBorder="1" applyAlignment="1">
      <alignment vertical="center" shrinkToFit="1"/>
    </xf>
    <xf numFmtId="43" fontId="3" fillId="0" borderId="0" xfId="11" applyFont="1" applyBorder="1" applyAlignment="1">
      <alignment vertical="center"/>
    </xf>
    <xf numFmtId="10" fontId="3" fillId="0" borderId="0" xfId="2" applyNumberFormat="1" applyFont="1" applyBorder="1" applyAlignment="1">
      <alignment vertical="center"/>
    </xf>
    <xf numFmtId="10" fontId="3" fillId="0" borderId="0" xfId="12" applyNumberFormat="1" applyFont="1" applyBorder="1" applyAlignment="1">
      <alignment vertical="center"/>
    </xf>
    <xf numFmtId="4" fontId="4" fillId="0" borderId="25" xfId="8" applyNumberFormat="1" applyFont="1" applyBorder="1" applyAlignment="1">
      <alignment horizontal="center" vertical="center"/>
    </xf>
    <xf numFmtId="4" fontId="4" fillId="0" borderId="20" xfId="8" applyNumberFormat="1" applyFont="1" applyBorder="1" applyAlignment="1">
      <alignment vertical="center"/>
    </xf>
    <xf numFmtId="0" fontId="15" fillId="0" borderId="0" xfId="0" applyFont="1"/>
    <xf numFmtId="4" fontId="3" fillId="0" borderId="0" xfId="8" applyNumberFormat="1" applyFont="1" applyAlignment="1">
      <alignment vertical="center"/>
    </xf>
    <xf numFmtId="4" fontId="3" fillId="0" borderId="0" xfId="8" applyNumberFormat="1" applyFont="1" applyAlignment="1">
      <alignment horizontal="center" vertical="center"/>
    </xf>
    <xf numFmtId="4" fontId="4" fillId="4" borderId="111" xfId="8" applyNumberFormat="1" applyFont="1" applyFill="1" applyBorder="1" applyAlignment="1">
      <alignment horizontal="center" vertical="center"/>
    </xf>
    <xf numFmtId="4" fontId="4" fillId="4" borderId="109" xfId="8" applyNumberFormat="1" applyFont="1" applyFill="1" applyBorder="1" applyAlignment="1">
      <alignment horizontal="center" vertical="center"/>
    </xf>
    <xf numFmtId="0" fontId="15" fillId="4" borderId="109" xfId="0" applyFont="1" applyFill="1" applyBorder="1" applyAlignment="1">
      <alignment horizontal="center" vertical="center" wrapText="1"/>
    </xf>
    <xf numFmtId="171" fontId="4" fillId="4" borderId="108" xfId="8" applyNumberFormat="1" applyFont="1" applyFill="1" applyBorder="1" applyAlignment="1">
      <alignment horizontal="center" vertical="center" wrapText="1" shrinkToFit="1"/>
    </xf>
    <xf numFmtId="171" fontId="3" fillId="0" borderId="0" xfId="8" applyNumberFormat="1" applyFont="1" applyAlignment="1">
      <alignment vertical="center" shrinkToFit="1"/>
    </xf>
    <xf numFmtId="4" fontId="3" fillId="2" borderId="15" xfId="8" applyNumberFormat="1" applyFont="1" applyFill="1" applyBorder="1" applyAlignment="1">
      <alignment vertical="center"/>
    </xf>
    <xf numFmtId="4" fontId="3" fillId="2" borderId="24" xfId="8" applyNumberFormat="1" applyFont="1" applyFill="1" applyBorder="1" applyAlignment="1">
      <alignment vertical="center"/>
    </xf>
    <xf numFmtId="4" fontId="3" fillId="2" borderId="63" xfId="8" applyNumberFormat="1" applyFont="1" applyFill="1" applyBorder="1" applyAlignment="1">
      <alignment vertical="center"/>
    </xf>
    <xf numFmtId="4" fontId="3" fillId="2" borderId="15" xfId="8" applyNumberFormat="1" applyFont="1" applyFill="1" applyBorder="1" applyAlignment="1">
      <alignment vertical="center" wrapText="1"/>
    </xf>
    <xf numFmtId="4" fontId="4" fillId="2" borderId="21" xfId="8" applyNumberFormat="1" applyFont="1" applyFill="1" applyBorder="1" applyAlignment="1">
      <alignment vertical="center"/>
    </xf>
    <xf numFmtId="171" fontId="4" fillId="2" borderId="34" xfId="8" applyNumberFormat="1" applyFont="1" applyFill="1" applyBorder="1" applyAlignment="1">
      <alignment vertical="center" shrinkToFit="1"/>
    </xf>
    <xf numFmtId="171" fontId="4" fillId="2" borderId="35" xfId="8" applyNumberFormat="1" applyFont="1" applyFill="1" applyBorder="1" applyAlignment="1">
      <alignment vertical="center" shrinkToFit="1"/>
    </xf>
    <xf numFmtId="4" fontId="4" fillId="0" borderId="0" xfId="8" applyNumberFormat="1" applyFont="1" applyAlignment="1">
      <alignment vertical="center"/>
    </xf>
    <xf numFmtId="180" fontId="16" fillId="0" borderId="0" xfId="0" applyNumberFormat="1" applyFont="1"/>
    <xf numFmtId="0" fontId="3" fillId="0" borderId="0" xfId="4" applyFont="1" applyAlignment="1">
      <alignment horizontal="left" vertical="center" wrapText="1"/>
    </xf>
    <xf numFmtId="168" fontId="3" fillId="0" borderId="35" xfId="4" applyNumberFormat="1" applyFont="1" applyBorder="1" applyAlignment="1">
      <alignment horizontal="center" vertical="center"/>
    </xf>
    <xf numFmtId="43" fontId="16" fillId="0" borderId="0" xfId="0" applyNumberFormat="1" applyFont="1"/>
    <xf numFmtId="9" fontId="16" fillId="4" borderId="30" xfId="2" applyFont="1" applyFill="1" applyBorder="1"/>
    <xf numFmtId="180" fontId="16" fillId="4" borderId="31" xfId="0" applyNumberFormat="1" applyFont="1" applyFill="1" applyBorder="1"/>
    <xf numFmtId="9" fontId="16" fillId="4" borderId="9" xfId="2" applyFont="1" applyFill="1" applyBorder="1"/>
    <xf numFmtId="180" fontId="16" fillId="4" borderId="32" xfId="0" applyNumberFormat="1" applyFont="1" applyFill="1" applyBorder="1"/>
    <xf numFmtId="180" fontId="15" fillId="4" borderId="35" xfId="0" applyNumberFormat="1" applyFont="1" applyFill="1" applyBorder="1"/>
    <xf numFmtId="166" fontId="4" fillId="0" borderId="0" xfId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24" fillId="9" borderId="48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166" fontId="25" fillId="0" borderId="0" xfId="1" applyFont="1" applyAlignment="1">
      <alignment horizontal="center" vertical="center"/>
    </xf>
    <xf numFmtId="166" fontId="25" fillId="0" borderId="0" xfId="1" applyFont="1"/>
    <xf numFmtId="166" fontId="24" fillId="9" borderId="49" xfId="1" applyFont="1" applyFill="1" applyBorder="1" applyAlignment="1">
      <alignment horizontal="center" vertical="center" wrapText="1"/>
    </xf>
    <xf numFmtId="0" fontId="3" fillId="0" borderId="119" xfId="0" applyFont="1" applyBorder="1" applyAlignment="1">
      <alignment horizontal="justify" vertical="center" wrapText="1"/>
    </xf>
    <xf numFmtId="183" fontId="25" fillId="0" borderId="28" xfId="0" applyNumberFormat="1" applyFont="1" applyBorder="1" applyAlignment="1">
      <alignment vertical="center"/>
    </xf>
    <xf numFmtId="0" fontId="25" fillId="0" borderId="119" xfId="0" applyFont="1" applyBorder="1"/>
    <xf numFmtId="0" fontId="25" fillId="0" borderId="28" xfId="0" applyFont="1" applyBorder="1"/>
    <xf numFmtId="0" fontId="15" fillId="4" borderId="109" xfId="0" applyFont="1" applyFill="1" applyBorder="1" applyAlignment="1">
      <alignment horizontal="center" vertical="center"/>
    </xf>
    <xf numFmtId="166" fontId="3" fillId="7" borderId="62" xfId="1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left" vertical="center"/>
    </xf>
    <xf numFmtId="168" fontId="6" fillId="0" borderId="120" xfId="4" applyNumberFormat="1" applyFont="1" applyBorder="1" applyAlignment="1">
      <alignment horizontal="left" vertical="center"/>
    </xf>
    <xf numFmtId="0" fontId="35" fillId="0" borderId="0" xfId="0" applyFont="1"/>
    <xf numFmtId="0" fontId="0" fillId="0" borderId="119" xfId="0" applyBorder="1"/>
    <xf numFmtId="0" fontId="35" fillId="0" borderId="28" xfId="0" applyFont="1" applyBorder="1"/>
    <xf numFmtId="0" fontId="5" fillId="2" borderId="79" xfId="4" applyFont="1" applyFill="1" applyBorder="1" applyAlignment="1">
      <alignment horizontal="center" vertical="center"/>
    </xf>
    <xf numFmtId="0" fontId="5" fillId="2" borderId="109" xfId="4" applyFont="1" applyFill="1" applyBorder="1" applyAlignment="1">
      <alignment vertical="center"/>
    </xf>
    <xf numFmtId="2" fontId="5" fillId="2" borderId="109" xfId="5" applyNumberFormat="1" applyFont="1" applyFill="1" applyBorder="1" applyAlignment="1">
      <alignment horizontal="center" vertical="center"/>
    </xf>
    <xf numFmtId="168" fontId="5" fillId="2" borderId="109" xfId="5" applyNumberFormat="1" applyFont="1" applyFill="1" applyBorder="1" applyAlignment="1">
      <alignment horizontal="center" vertical="center" wrapText="1"/>
    </xf>
    <xf numFmtId="168" fontId="5" fillId="2" borderId="107" xfId="5" applyNumberFormat="1" applyFont="1" applyFill="1" applyBorder="1" applyAlignment="1">
      <alignment horizontal="center" vertical="center" wrapText="1"/>
    </xf>
    <xf numFmtId="0" fontId="5" fillId="2" borderId="109" xfId="4" applyFont="1" applyFill="1" applyBorder="1" applyAlignment="1">
      <alignment horizontal="center" vertical="center" wrapText="1"/>
    </xf>
    <xf numFmtId="168" fontId="36" fillId="2" borderId="80" xfId="5" applyNumberFormat="1" applyFont="1" applyFill="1" applyBorder="1" applyAlignment="1">
      <alignment horizontal="center" vertical="center" wrapText="1"/>
    </xf>
    <xf numFmtId="0" fontId="6" fillId="0" borderId="79" xfId="4" applyFont="1" applyBorder="1" applyAlignment="1">
      <alignment horizontal="center" vertical="center"/>
    </xf>
    <xf numFmtId="10" fontId="8" fillId="0" borderId="109" xfId="6" applyNumberFormat="1" applyFont="1" applyBorder="1" applyAlignment="1">
      <alignment horizontal="center" vertical="center"/>
    </xf>
    <xf numFmtId="1" fontId="6" fillId="0" borderId="109" xfId="5" applyNumberFormat="1" applyFont="1" applyBorder="1" applyAlignment="1">
      <alignment horizontal="center" vertical="center"/>
    </xf>
    <xf numFmtId="168" fontId="6" fillId="0" borderId="109" xfId="4" applyNumberFormat="1" applyFont="1" applyBorder="1" applyAlignment="1">
      <alignment horizontal="center" vertical="center"/>
    </xf>
    <xf numFmtId="165" fontId="6" fillId="0" borderId="109" xfId="3" applyFont="1" applyBorder="1" applyAlignment="1">
      <alignment horizontal="center" vertical="center"/>
    </xf>
    <xf numFmtId="168" fontId="6" fillId="0" borderId="109" xfId="4" applyNumberFormat="1" applyFont="1" applyBorder="1" applyAlignment="1">
      <alignment horizontal="left" vertical="center"/>
    </xf>
    <xf numFmtId="170" fontId="35" fillId="0" borderId="80" xfId="3" applyNumberFormat="1" applyFont="1" applyBorder="1" applyAlignment="1">
      <alignment horizontal="left" vertical="center"/>
    </xf>
    <xf numFmtId="0" fontId="0" fillId="0" borderId="109" xfId="0" applyBorder="1" applyAlignment="1">
      <alignment horizontal="center"/>
    </xf>
    <xf numFmtId="168" fontId="5" fillId="2" borderId="109" xfId="4" applyNumberFormat="1" applyFont="1" applyFill="1" applyBorder="1" applyAlignment="1">
      <alignment horizontal="left" vertical="center"/>
    </xf>
    <xf numFmtId="170" fontId="36" fillId="2" borderId="80" xfId="0" applyNumberFormat="1" applyFont="1" applyFill="1" applyBorder="1"/>
    <xf numFmtId="168" fontId="5" fillId="2" borderId="109" xfId="5" applyNumberFormat="1" applyFont="1" applyFill="1" applyBorder="1" applyAlignment="1">
      <alignment horizontal="center" vertical="center"/>
    </xf>
    <xf numFmtId="168" fontId="36" fillId="2" borderId="80" xfId="5" applyNumberFormat="1" applyFont="1" applyFill="1" applyBorder="1" applyAlignment="1">
      <alignment horizontal="center" vertical="center"/>
    </xf>
    <xf numFmtId="169" fontId="35" fillId="0" borderId="80" xfId="4" applyNumberFormat="1" applyFont="1" applyBorder="1" applyAlignment="1">
      <alignment horizontal="left" vertical="center"/>
    </xf>
    <xf numFmtId="169" fontId="36" fillId="2" borderId="80" xfId="5" applyNumberFormat="1" applyFont="1" applyFill="1" applyBorder="1" applyAlignment="1">
      <alignment horizontal="center" vertical="center"/>
    </xf>
    <xf numFmtId="168" fontId="5" fillId="2" borderId="120" xfId="5" applyNumberFormat="1" applyFont="1" applyFill="1" applyBorder="1" applyAlignment="1">
      <alignment horizontal="center" vertical="center"/>
    </xf>
    <xf numFmtId="168" fontId="2" fillId="2" borderId="109" xfId="0" applyNumberFormat="1" applyFont="1" applyFill="1" applyBorder="1"/>
    <xf numFmtId="169" fontId="36" fillId="2" borderId="80" xfId="0" applyNumberFormat="1" applyFont="1" applyFill="1" applyBorder="1"/>
    <xf numFmtId="1" fontId="5" fillId="0" borderId="119" xfId="5" applyNumberFormat="1" applyFont="1" applyBorder="1" applyAlignment="1">
      <alignment vertical="center"/>
    </xf>
    <xf numFmtId="1" fontId="5" fillId="0" borderId="0" xfId="5" applyNumberFormat="1" applyFont="1" applyBorder="1" applyAlignment="1">
      <alignment vertical="center"/>
    </xf>
    <xf numFmtId="0" fontId="6" fillId="0" borderId="107" xfId="4" applyFont="1" applyBorder="1" applyAlignment="1">
      <alignment horizontal="left" vertical="center"/>
    </xf>
    <xf numFmtId="0" fontId="6" fillId="0" borderId="124" xfId="4" applyFont="1" applyBorder="1" applyAlignment="1">
      <alignment horizontal="left" vertical="center"/>
    </xf>
    <xf numFmtId="0" fontId="6" fillId="0" borderId="119" xfId="4" applyFont="1" applyBorder="1" applyAlignment="1">
      <alignment horizontal="center" vertical="center"/>
    </xf>
    <xf numFmtId="10" fontId="8" fillId="0" borderId="0" xfId="6" applyNumberFormat="1" applyFont="1" applyBorder="1" applyAlignment="1">
      <alignment horizontal="center" vertical="center"/>
    </xf>
    <xf numFmtId="1" fontId="6" fillId="3" borderId="0" xfId="5" applyNumberFormat="1" applyFont="1" applyFill="1" applyBorder="1" applyAlignment="1">
      <alignment horizontal="center" vertical="center"/>
    </xf>
    <xf numFmtId="168" fontId="6" fillId="0" borderId="0" xfId="4" applyNumberFormat="1" applyFont="1" applyBorder="1" applyAlignment="1">
      <alignment horizontal="center" vertical="center"/>
    </xf>
    <xf numFmtId="165" fontId="6" fillId="0" borderId="0" xfId="3" applyFont="1" applyBorder="1" applyAlignment="1">
      <alignment horizontal="center" vertical="center"/>
    </xf>
    <xf numFmtId="168" fontId="6" fillId="0" borderId="0" xfId="4" applyNumberFormat="1" applyFont="1" applyBorder="1" applyAlignment="1">
      <alignment horizontal="left" vertical="center"/>
    </xf>
    <xf numFmtId="168" fontId="5" fillId="4" borderId="61" xfId="5" applyNumberFormat="1" applyFont="1" applyFill="1" applyBorder="1" applyAlignment="1">
      <alignment horizontal="center" vertical="center"/>
    </xf>
    <xf numFmtId="169" fontId="36" fillId="4" borderId="61" xfId="5" applyNumberFormat="1" applyFont="1" applyFill="1" applyBorder="1" applyAlignment="1">
      <alignment horizontal="center" vertical="center"/>
    </xf>
    <xf numFmtId="0" fontId="5" fillId="0" borderId="119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36" fillId="0" borderId="28" xfId="4" applyFont="1" applyBorder="1" applyAlignment="1">
      <alignment horizontal="center" vertical="center" wrapText="1"/>
    </xf>
    <xf numFmtId="10" fontId="6" fillId="0" borderId="0" xfId="6" applyNumberFormat="1" applyFont="1" applyBorder="1" applyAlignment="1">
      <alignment horizontal="center" vertical="center"/>
    </xf>
    <xf numFmtId="2" fontId="6" fillId="0" borderId="0" xfId="4" applyNumberFormat="1" applyFont="1" applyBorder="1" applyAlignment="1">
      <alignment horizontal="center" vertical="center"/>
    </xf>
    <xf numFmtId="168" fontId="10" fillId="0" borderId="0" xfId="4" applyNumberFormat="1" applyFont="1" applyBorder="1" applyAlignment="1">
      <alignment horizontal="center" vertical="center"/>
    </xf>
    <xf numFmtId="0" fontId="6" fillId="0" borderId="111" xfId="4" applyFont="1" applyBorder="1" applyAlignment="1">
      <alignment horizontal="center" vertical="center"/>
    </xf>
    <xf numFmtId="10" fontId="5" fillId="2" borderId="107" xfId="2" applyNumberFormat="1" applyFont="1" applyFill="1" applyBorder="1" applyAlignment="1">
      <alignment horizontal="center" vertical="center"/>
    </xf>
    <xf numFmtId="168" fontId="37" fillId="4" borderId="13" xfId="5" applyNumberFormat="1" applyFont="1" applyFill="1" applyBorder="1" applyAlignment="1">
      <alignment horizontal="left" vertical="center"/>
    </xf>
    <xf numFmtId="0" fontId="25" fillId="5" borderId="97" xfId="0" applyFont="1" applyFill="1" applyBorder="1"/>
    <xf numFmtId="0" fontId="25" fillId="5" borderId="98" xfId="0" applyFont="1" applyFill="1" applyBorder="1" applyAlignment="1">
      <alignment horizontal="right" vertical="center"/>
    </xf>
    <xf numFmtId="0" fontId="25" fillId="5" borderId="99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1" fontId="40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6" fillId="3" borderId="0" xfId="0" applyNumberFormat="1" applyFont="1" applyFill="1" applyAlignment="1">
      <alignment horizontal="center" vertical="center" wrapText="1"/>
    </xf>
    <xf numFmtId="4" fontId="12" fillId="4" borderId="61" xfId="0" applyNumberFormat="1" applyFont="1" applyFill="1" applyBorder="1" applyAlignment="1">
      <alignment horizontal="center" vertical="center" wrapText="1"/>
    </xf>
    <xf numFmtId="0" fontId="36" fillId="6" borderId="29" xfId="0" applyFont="1" applyFill="1" applyBorder="1" applyAlignment="1">
      <alignment horizontal="center" vertical="center"/>
    </xf>
    <xf numFmtId="0" fontId="36" fillId="6" borderId="79" xfId="0" applyFont="1" applyFill="1" applyBorder="1" applyAlignment="1">
      <alignment horizontal="center" vertical="center"/>
    </xf>
    <xf numFmtId="44" fontId="5" fillId="2" borderId="109" xfId="0" applyNumberFormat="1" applyFont="1" applyFill="1" applyBorder="1" applyAlignment="1">
      <alignment horizontal="center" vertical="center" wrapText="1"/>
    </xf>
    <xf numFmtId="44" fontId="5" fillId="2" borderId="80" xfId="0" applyNumberFormat="1" applyFont="1" applyFill="1" applyBorder="1" applyAlignment="1">
      <alignment horizontal="center" vertical="center" wrapText="1"/>
    </xf>
    <xf numFmtId="166" fontId="5" fillId="0" borderId="34" xfId="1" applyFont="1" applyBorder="1" applyAlignment="1">
      <alignment horizontal="center" vertical="center"/>
    </xf>
    <xf numFmtId="166" fontId="5" fillId="0" borderId="35" xfId="1" applyFont="1" applyBorder="1" applyAlignment="1">
      <alignment horizontal="center" vertical="center"/>
    </xf>
    <xf numFmtId="171" fontId="16" fillId="0" borderId="0" xfId="0" applyNumberFormat="1" applyFont="1" applyAlignment="1" applyProtection="1">
      <alignment horizontal="left" vertical="center"/>
      <protection locked="0"/>
    </xf>
    <xf numFmtId="4" fontId="3" fillId="0" borderId="119" xfId="8" applyNumberFormat="1" applyFont="1" applyBorder="1" applyAlignment="1">
      <alignment vertical="center"/>
    </xf>
    <xf numFmtId="4" fontId="3" fillId="2" borderId="119" xfId="8" applyNumberFormat="1" applyFont="1" applyFill="1" applyBorder="1" applyAlignment="1">
      <alignment vertical="center"/>
    </xf>
    <xf numFmtId="3" fontId="3" fillId="0" borderId="9" xfId="4" applyNumberFormat="1" applyFont="1" applyBorder="1" applyAlignment="1">
      <alignment horizontal="center" vertical="center"/>
    </xf>
    <xf numFmtId="4" fontId="3" fillId="0" borderId="0" xfId="8" applyNumberFormat="1" applyFont="1" applyFill="1" applyBorder="1" applyAlignment="1">
      <alignment vertical="center"/>
    </xf>
    <xf numFmtId="4" fontId="3" fillId="8" borderId="127" xfId="8" applyNumberFormat="1" applyFont="1" applyFill="1" applyBorder="1" applyAlignment="1">
      <alignment horizontal="left" vertical="center"/>
    </xf>
    <xf numFmtId="0" fontId="16" fillId="8" borderId="29" xfId="0" applyFont="1" applyFill="1" applyBorder="1" applyAlignment="1">
      <alignment horizontal="left" vertical="center"/>
    </xf>
    <xf numFmtId="186" fontId="16" fillId="7" borderId="130" xfId="1" applyNumberFormat="1" applyFont="1" applyFill="1" applyBorder="1" applyAlignment="1" applyProtection="1">
      <alignment horizontal="center" vertical="center"/>
      <protection locked="0"/>
    </xf>
    <xf numFmtId="0" fontId="16" fillId="8" borderId="125" xfId="0" applyFont="1" applyFill="1" applyBorder="1" applyAlignment="1">
      <alignment horizontal="left" vertical="center" wrapText="1"/>
    </xf>
    <xf numFmtId="0" fontId="16" fillId="8" borderId="33" xfId="0" applyFont="1" applyFill="1" applyBorder="1" applyAlignment="1">
      <alignment horizontal="left" vertical="center"/>
    </xf>
    <xf numFmtId="166" fontId="16" fillId="7" borderId="35" xfId="1" applyFont="1" applyFill="1" applyBorder="1" applyAlignment="1" applyProtection="1">
      <alignment horizontal="center" vertical="center"/>
      <protection locked="0"/>
    </xf>
    <xf numFmtId="0" fontId="16" fillId="7" borderId="31" xfId="0" applyFont="1" applyFill="1" applyBorder="1" applyAlignment="1">
      <alignment horizontal="center" vertical="center" wrapText="1"/>
    </xf>
    <xf numFmtId="0" fontId="16" fillId="14" borderId="29" xfId="0" applyFont="1" applyFill="1" applyBorder="1" applyAlignment="1">
      <alignment horizontal="left" vertical="center"/>
    </xf>
    <xf numFmtId="0" fontId="16" fillId="14" borderId="79" xfId="0" applyFont="1" applyFill="1" applyBorder="1" applyAlignment="1">
      <alignment horizontal="left" vertical="center"/>
    </xf>
    <xf numFmtId="0" fontId="16" fillId="14" borderId="33" xfId="0" applyFont="1" applyFill="1" applyBorder="1" applyAlignment="1">
      <alignment horizontal="left" vertical="center" wrapText="1"/>
    </xf>
    <xf numFmtId="0" fontId="16" fillId="14" borderId="129" xfId="0" applyFont="1" applyFill="1" applyBorder="1" applyAlignment="1">
      <alignment horizontal="left" vertical="center"/>
    </xf>
    <xf numFmtId="4" fontId="3" fillId="14" borderId="123" xfId="8" applyNumberFormat="1" applyFont="1" applyFill="1" applyBorder="1" applyAlignment="1">
      <alignment horizontal="left" vertical="center" wrapText="1"/>
    </xf>
    <xf numFmtId="4" fontId="3" fillId="8" borderId="39" xfId="8" applyNumberFormat="1" applyFont="1" applyFill="1" applyBorder="1" applyAlignment="1">
      <alignment horizontal="left" vertical="center"/>
    </xf>
    <xf numFmtId="9" fontId="16" fillId="7" borderId="31" xfId="2" applyFont="1" applyFill="1" applyBorder="1" applyAlignment="1" applyProtection="1">
      <alignment horizontal="center" vertical="center"/>
      <protection locked="0"/>
    </xf>
    <xf numFmtId="4" fontId="3" fillId="14" borderId="29" xfId="8" applyNumberFormat="1" applyFont="1" applyFill="1" applyBorder="1" applyAlignment="1">
      <alignment horizontal="left" vertical="center" wrapText="1"/>
    </xf>
    <xf numFmtId="186" fontId="16" fillId="7" borderId="35" xfId="1" applyNumberFormat="1" applyFont="1" applyFill="1" applyBorder="1" applyAlignment="1" applyProtection="1">
      <alignment horizontal="center" vertical="center"/>
      <protection locked="0"/>
    </xf>
    <xf numFmtId="9" fontId="16" fillId="7" borderId="62" xfId="0" applyNumberFormat="1" applyFont="1" applyFill="1" applyBorder="1" applyAlignment="1">
      <alignment horizontal="center" vertical="center"/>
    </xf>
    <xf numFmtId="0" fontId="3" fillId="7" borderId="106" xfId="4" applyFont="1" applyFill="1" applyBorder="1" applyAlignment="1" applyProtection="1">
      <alignment horizontal="left" vertical="center"/>
      <protection locked="0"/>
    </xf>
    <xf numFmtId="0" fontId="3" fillId="7" borderId="106" xfId="4" applyFont="1" applyFill="1" applyBorder="1" applyAlignment="1" applyProtection="1">
      <alignment horizontal="left" vertical="center" wrapText="1"/>
      <protection locked="0"/>
    </xf>
    <xf numFmtId="0" fontId="0" fillId="7" borderId="133" xfId="0" applyFill="1" applyBorder="1" applyAlignment="1">
      <alignment horizontal="center"/>
    </xf>
    <xf numFmtId="0" fontId="25" fillId="11" borderId="134" xfId="0" applyFont="1" applyFill="1" applyBorder="1"/>
    <xf numFmtId="9" fontId="25" fillId="7" borderId="135" xfId="2" applyFont="1" applyFill="1" applyBorder="1" applyAlignment="1" applyProtection="1"/>
    <xf numFmtId="166" fontId="25" fillId="7" borderId="59" xfId="1" applyFont="1" applyFill="1" applyBorder="1" applyAlignment="1" applyProtection="1"/>
    <xf numFmtId="166" fontId="25" fillId="7" borderId="65" xfId="1" applyFont="1" applyFill="1" applyBorder="1" applyAlignment="1" applyProtection="1"/>
    <xf numFmtId="166" fontId="25" fillId="7" borderId="66" xfId="1" applyFont="1" applyFill="1" applyBorder="1" applyAlignment="1" applyProtection="1"/>
    <xf numFmtId="181" fontId="25" fillId="7" borderId="68" xfId="1" applyNumberFormat="1" applyFont="1" applyFill="1" applyBorder="1" applyAlignment="1" applyProtection="1"/>
    <xf numFmtId="181" fontId="25" fillId="7" borderId="68" xfId="0" applyNumberFormat="1" applyFont="1" applyFill="1" applyBorder="1"/>
    <xf numFmtId="181" fontId="25" fillId="7" borderId="69" xfId="0" applyNumberFormat="1" applyFont="1" applyFill="1" applyBorder="1"/>
    <xf numFmtId="0" fontId="3" fillId="7" borderId="68" xfId="0" applyFont="1" applyFill="1" applyBorder="1" applyAlignment="1">
      <alignment horizontal="right"/>
    </xf>
    <xf numFmtId="0" fontId="3" fillId="7" borderId="69" xfId="0" applyFont="1" applyFill="1" applyBorder="1" applyAlignment="1">
      <alignment horizontal="right"/>
    </xf>
    <xf numFmtId="9" fontId="25" fillId="7" borderId="135" xfId="0" applyNumberFormat="1" applyFont="1" applyFill="1" applyBorder="1"/>
    <xf numFmtId="9" fontId="25" fillId="7" borderId="136" xfId="0" applyNumberFormat="1" applyFont="1" applyFill="1" applyBorder="1"/>
    <xf numFmtId="166" fontId="25" fillId="7" borderId="59" xfId="1" applyFont="1" applyFill="1" applyBorder="1"/>
    <xf numFmtId="166" fontId="25" fillId="7" borderId="60" xfId="1" applyFont="1" applyFill="1" applyBorder="1"/>
    <xf numFmtId="0" fontId="3" fillId="2" borderId="36" xfId="4" applyFont="1" applyFill="1" applyBorder="1" applyAlignment="1">
      <alignment horizontal="left" vertical="center"/>
    </xf>
    <xf numFmtId="0" fontId="3" fillId="2" borderId="106" xfId="4" applyFont="1" applyFill="1" applyBorder="1" applyAlignment="1">
      <alignment horizontal="left" vertical="center"/>
    </xf>
    <xf numFmtId="10" fontId="3" fillId="7" borderId="128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0" fontId="24" fillId="0" borderId="0" xfId="2" applyNumberFormat="1" applyFont="1" applyFill="1" applyBorder="1" applyAlignment="1" applyProtection="1">
      <alignment horizontal="center"/>
    </xf>
    <xf numFmtId="10" fontId="0" fillId="0" borderId="0" xfId="2" applyNumberFormat="1" applyFont="1"/>
    <xf numFmtId="0" fontId="3" fillId="2" borderId="33" xfId="0" applyFont="1" applyFill="1" applyBorder="1" applyAlignment="1">
      <alignment horizontal="right"/>
    </xf>
    <xf numFmtId="168" fontId="6" fillId="0" borderId="109" xfId="4" applyNumberFormat="1" applyFont="1" applyFill="1" applyBorder="1" applyAlignment="1">
      <alignment horizontal="left" vertical="center"/>
    </xf>
    <xf numFmtId="0" fontId="16" fillId="0" borderId="138" xfId="0" applyFont="1" applyBorder="1"/>
    <xf numFmtId="10" fontId="25" fillId="7" borderId="0" xfId="2" applyNumberFormat="1" applyFont="1" applyFill="1" applyBorder="1" applyAlignment="1" applyProtection="1">
      <alignment horizontal="center"/>
    </xf>
    <xf numFmtId="10" fontId="4" fillId="7" borderId="30" xfId="2" applyNumberFormat="1" applyFont="1" applyFill="1" applyBorder="1" applyAlignment="1">
      <alignment horizontal="right" vertical="center"/>
    </xf>
    <xf numFmtId="10" fontId="4" fillId="7" borderId="25" xfId="2" applyNumberFormat="1" applyFont="1" applyFill="1" applyBorder="1" applyAlignment="1">
      <alignment vertical="center"/>
    </xf>
    <xf numFmtId="166" fontId="16" fillId="7" borderId="24" xfId="1" applyFont="1" applyFill="1" applyBorder="1"/>
    <xf numFmtId="10" fontId="16" fillId="7" borderId="9" xfId="0" applyNumberFormat="1" applyFont="1" applyFill="1" applyBorder="1"/>
    <xf numFmtId="166" fontId="25" fillId="10" borderId="48" xfId="1" applyFont="1" applyFill="1" applyBorder="1" applyAlignment="1" applyProtection="1">
      <alignment horizontal="center"/>
    </xf>
    <xf numFmtId="166" fontId="25" fillId="10" borderId="51" xfId="1" applyFont="1" applyFill="1" applyBorder="1" applyAlignment="1" applyProtection="1">
      <alignment horizontal="center"/>
    </xf>
    <xf numFmtId="166" fontId="25" fillId="10" borderId="52" xfId="1" applyFont="1" applyFill="1" applyBorder="1" applyAlignment="1" applyProtection="1">
      <alignment horizontal="center"/>
    </xf>
    <xf numFmtId="166" fontId="25" fillId="10" borderId="49" xfId="1" applyFont="1" applyFill="1" applyBorder="1" applyAlignment="1" applyProtection="1">
      <alignment horizontal="center"/>
    </xf>
    <xf numFmtId="166" fontId="3" fillId="0" borderId="0" xfId="1" applyFont="1" applyAlignment="1">
      <alignment vertical="center" wrapText="1"/>
    </xf>
    <xf numFmtId="166" fontId="43" fillId="0" borderId="0" xfId="1" applyFont="1" applyAlignment="1">
      <alignment horizontal="center" vertical="center" wrapText="1"/>
    </xf>
    <xf numFmtId="166" fontId="43" fillId="3" borderId="0" xfId="1" applyFont="1" applyFill="1" applyAlignment="1">
      <alignment horizontal="center" vertical="center" wrapText="1"/>
    </xf>
    <xf numFmtId="166" fontId="6" fillId="0" borderId="0" xfId="1" applyFont="1"/>
    <xf numFmtId="166" fontId="6" fillId="0" borderId="0" xfId="1" applyFont="1" applyFill="1" applyBorder="1" applyAlignment="1">
      <alignment horizontal="center" vertical="center"/>
    </xf>
    <xf numFmtId="0" fontId="6" fillId="0" borderId="107" xfId="4" applyFont="1" applyBorder="1" applyAlignment="1">
      <alignment horizontal="left" vertical="center" wrapText="1"/>
    </xf>
    <xf numFmtId="0" fontId="6" fillId="0" borderId="124" xfId="4" applyFont="1" applyBorder="1" applyAlignment="1">
      <alignment horizontal="left" vertical="center" wrapText="1"/>
    </xf>
    <xf numFmtId="0" fontId="5" fillId="2" borderId="107" xfId="4" applyFont="1" applyFill="1" applyBorder="1" applyAlignment="1">
      <alignment vertical="center"/>
    </xf>
    <xf numFmtId="0" fontId="5" fillId="2" borderId="124" xfId="4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5" fillId="2" borderId="124" xfId="4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6" fontId="16" fillId="0" borderId="0" xfId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2" fontId="3" fillId="7" borderId="133" xfId="5" applyNumberFormat="1" applyFont="1" applyFill="1" applyBorder="1" applyAlignment="1" applyProtection="1">
      <alignment horizontal="center" vertical="center"/>
      <protection locked="0"/>
    </xf>
    <xf numFmtId="0" fontId="0" fillId="0" borderId="124" xfId="0" applyBorder="1"/>
    <xf numFmtId="0" fontId="0" fillId="0" borderId="120" xfId="0" applyBorder="1"/>
    <xf numFmtId="38" fontId="8" fillId="0" borderId="109" xfId="6" applyNumberFormat="1" applyFont="1" applyFill="1" applyBorder="1" applyAlignment="1">
      <alignment horizontal="center" vertical="center"/>
    </xf>
    <xf numFmtId="0" fontId="45" fillId="0" borderId="0" xfId="0" applyFont="1"/>
    <xf numFmtId="0" fontId="47" fillId="0" borderId="0" xfId="0" applyFont="1"/>
    <xf numFmtId="0" fontId="36" fillId="0" borderId="0" xfId="0" applyFont="1"/>
    <xf numFmtId="0" fontId="5" fillId="6" borderId="111" xfId="0" applyFont="1" applyFill="1" applyBorder="1" applyAlignment="1">
      <alignment horizontal="center" vertical="center"/>
    </xf>
    <xf numFmtId="0" fontId="35" fillId="0" borderId="0" xfId="0" applyFont="1" applyFill="1"/>
    <xf numFmtId="0" fontId="35" fillId="0" borderId="0" xfId="0" applyFont="1" applyFill="1" applyBorder="1"/>
    <xf numFmtId="0" fontId="0" fillId="0" borderId="0" xfId="0" applyFill="1"/>
    <xf numFmtId="0" fontId="5" fillId="6" borderId="26" xfId="0" applyFont="1" applyFill="1" applyBorder="1" applyAlignment="1">
      <alignment horizontal="center" vertical="center"/>
    </xf>
    <xf numFmtId="0" fontId="5" fillId="6" borderId="142" xfId="0" applyFont="1" applyFill="1" applyBorder="1" applyAlignment="1">
      <alignment horizontal="center" vertical="center"/>
    </xf>
    <xf numFmtId="2" fontId="6" fillId="0" borderId="109" xfId="5" applyNumberFormat="1" applyFont="1" applyFill="1" applyBorder="1" applyAlignment="1">
      <alignment horizontal="center" vertical="center"/>
    </xf>
    <xf numFmtId="2" fontId="0" fillId="0" borderId="109" xfId="0" applyNumberFormat="1" applyFill="1" applyBorder="1" applyAlignment="1">
      <alignment horizontal="center"/>
    </xf>
    <xf numFmtId="0" fontId="3" fillId="7" borderId="33" xfId="4" applyFont="1" applyFill="1" applyBorder="1" applyAlignment="1">
      <alignment horizontal="left" vertical="center" wrapText="1"/>
    </xf>
    <xf numFmtId="10" fontId="25" fillId="7" borderId="133" xfId="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0" xfId="0" applyFont="1" applyBorder="1" applyAlignment="1">
      <alignment vertical="center"/>
    </xf>
    <xf numFmtId="4" fontId="21" fillId="4" borderId="61" xfId="0" applyNumberFormat="1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90" xfId="0" applyFont="1" applyFill="1" applyBorder="1" applyAlignment="1">
      <alignment horizontal="center"/>
    </xf>
    <xf numFmtId="0" fontId="25" fillId="0" borderId="139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3" fillId="10" borderId="48" xfId="1" applyNumberFormat="1" applyFont="1" applyFill="1" applyBorder="1" applyAlignment="1" applyProtection="1">
      <alignment horizontal="center"/>
    </xf>
    <xf numFmtId="0" fontId="24" fillId="9" borderId="81" xfId="0" applyFont="1" applyFill="1" applyBorder="1" applyAlignment="1">
      <alignment horizontal="center" vertical="center"/>
    </xf>
    <xf numFmtId="0" fontId="24" fillId="9" borderId="143" xfId="0" applyFont="1" applyFill="1" applyBorder="1" applyAlignment="1">
      <alignment horizontal="center" vertical="center" wrapText="1"/>
    </xf>
    <xf numFmtId="0" fontId="24" fillId="9" borderId="144" xfId="0" applyFont="1" applyFill="1" applyBorder="1" applyAlignment="1">
      <alignment horizontal="center" vertical="center" wrapText="1"/>
    </xf>
    <xf numFmtId="0" fontId="3" fillId="11" borderId="145" xfId="0" applyFont="1" applyFill="1" applyBorder="1"/>
    <xf numFmtId="166" fontId="3" fillId="10" borderId="146" xfId="1" applyFont="1" applyFill="1" applyBorder="1" applyAlignment="1" applyProtection="1">
      <alignment horizontal="center"/>
    </xf>
    <xf numFmtId="0" fontId="25" fillId="11" borderId="148" xfId="0" applyFont="1" applyFill="1" applyBorder="1"/>
    <xf numFmtId="10" fontId="25" fillId="0" borderId="149" xfId="2" applyNumberFormat="1" applyFont="1" applyFill="1" applyBorder="1" applyAlignment="1" applyProtection="1">
      <alignment horizontal="right"/>
    </xf>
    <xf numFmtId="10" fontId="25" fillId="0" borderId="150" xfId="2" applyNumberFormat="1" applyFont="1" applyFill="1" applyBorder="1" applyAlignment="1" applyProtection="1">
      <alignment horizontal="right"/>
    </xf>
    <xf numFmtId="0" fontId="25" fillId="11" borderId="106" xfId="0" applyFont="1" applyFill="1" applyBorder="1"/>
    <xf numFmtId="166" fontId="25" fillId="0" borderId="109" xfId="1" applyFont="1" applyFill="1" applyBorder="1" applyAlignment="1" applyProtection="1">
      <alignment horizontal="center"/>
    </xf>
    <xf numFmtId="166" fontId="25" fillId="0" borderId="132" xfId="1" applyFont="1" applyFill="1" applyBorder="1" applyAlignment="1" applyProtection="1">
      <alignment horizontal="center"/>
    </xf>
    <xf numFmtId="0" fontId="25" fillId="0" borderId="89" xfId="0" applyFont="1" applyFill="1" applyBorder="1" applyAlignment="1">
      <alignment horizontal="center" vertical="center"/>
    </xf>
    <xf numFmtId="0" fontId="16" fillId="7" borderId="125" xfId="0" applyFont="1" applyFill="1" applyBorder="1" applyAlignment="1">
      <alignment horizontal="left" vertical="center"/>
    </xf>
    <xf numFmtId="44" fontId="16" fillId="7" borderId="138" xfId="0" applyNumberFormat="1" applyFont="1" applyFill="1" applyBorder="1" applyAlignment="1" applyProtection="1">
      <alignment horizontal="center" vertical="center"/>
      <protection locked="0"/>
    </xf>
    <xf numFmtId="0" fontId="15" fillId="4" borderId="127" xfId="0" applyFont="1" applyFill="1" applyBorder="1" applyAlignment="1">
      <alignment horizontal="center" vertical="center"/>
    </xf>
    <xf numFmtId="0" fontId="15" fillId="4" borderId="137" xfId="0" applyFont="1" applyFill="1" applyBorder="1" applyAlignment="1">
      <alignment horizontal="center" vertical="center"/>
    </xf>
    <xf numFmtId="0" fontId="15" fillId="4" borderId="116" xfId="0" applyFont="1" applyFill="1" applyBorder="1" applyAlignment="1">
      <alignment horizontal="center" vertical="center" wrapText="1"/>
    </xf>
    <xf numFmtId="0" fontId="15" fillId="4" borderId="151" xfId="0" applyFont="1" applyFill="1" applyBorder="1" applyAlignment="1">
      <alignment horizontal="center" vertical="center" wrapText="1"/>
    </xf>
    <xf numFmtId="0" fontId="16" fillId="7" borderId="106" xfId="0" applyFont="1" applyFill="1" applyBorder="1" applyAlignment="1">
      <alignment horizontal="left" vertical="center"/>
    </xf>
    <xf numFmtId="44" fontId="16" fillId="7" borderId="109" xfId="0" applyNumberFormat="1" applyFont="1" applyFill="1" applyBorder="1" applyAlignment="1" applyProtection="1">
      <alignment horizontal="center" vertical="center"/>
      <protection locked="0"/>
    </xf>
    <xf numFmtId="0" fontId="16" fillId="7" borderId="109" xfId="0" applyFont="1" applyFill="1" applyBorder="1" applyAlignment="1" applyProtection="1">
      <alignment horizontal="center" vertical="center"/>
      <protection locked="0"/>
    </xf>
    <xf numFmtId="0" fontId="16" fillId="7" borderId="132" xfId="0" applyFont="1" applyFill="1" applyBorder="1" applyAlignment="1" applyProtection="1">
      <alignment horizontal="center" vertical="center"/>
      <protection locked="0"/>
    </xf>
    <xf numFmtId="0" fontId="16" fillId="7" borderId="138" xfId="0" applyFont="1" applyFill="1" applyBorder="1" applyAlignment="1" applyProtection="1">
      <alignment horizontal="center" vertical="center"/>
      <protection locked="0"/>
    </xf>
    <xf numFmtId="0" fontId="16" fillId="7" borderId="126" xfId="0" applyFont="1" applyFill="1" applyBorder="1" applyAlignment="1" applyProtection="1">
      <alignment horizontal="center" vertical="center"/>
      <protection locked="0"/>
    </xf>
    <xf numFmtId="0" fontId="16" fillId="7" borderId="129" xfId="0" applyFont="1" applyFill="1" applyBorder="1" applyAlignment="1">
      <alignment horizontal="left" vertical="center"/>
    </xf>
    <xf numFmtId="44" fontId="16" fillId="7" borderId="133" xfId="0" applyNumberFormat="1" applyFont="1" applyFill="1" applyBorder="1" applyAlignment="1" applyProtection="1">
      <alignment horizontal="center" vertical="center"/>
      <protection locked="0"/>
    </xf>
    <xf numFmtId="0" fontId="16" fillId="7" borderId="133" xfId="0" applyFont="1" applyFill="1" applyBorder="1" applyAlignment="1" applyProtection="1">
      <alignment horizontal="center" vertical="center"/>
      <protection locked="0"/>
    </xf>
    <xf numFmtId="0" fontId="16" fillId="7" borderId="130" xfId="0" applyFont="1" applyFill="1" applyBorder="1" applyAlignment="1" applyProtection="1">
      <alignment horizontal="center" vertical="center"/>
      <protection locked="0"/>
    </xf>
    <xf numFmtId="0" fontId="16" fillId="0" borderId="119" xfId="0" applyFont="1" applyBorder="1" applyAlignment="1">
      <alignment horizontal="center" vertical="center"/>
    </xf>
    <xf numFmtId="0" fontId="15" fillId="4" borderId="84" xfId="0" applyFont="1" applyFill="1" applyBorder="1" applyAlignment="1">
      <alignment horizontal="center" vertical="center" wrapText="1"/>
    </xf>
    <xf numFmtId="0" fontId="15" fillId="4" borderId="78" xfId="0" applyFont="1" applyFill="1" applyBorder="1" applyAlignment="1">
      <alignment horizontal="center" vertical="center" wrapText="1"/>
    </xf>
    <xf numFmtId="0" fontId="16" fillId="7" borderId="152" xfId="0" applyFont="1" applyFill="1" applyBorder="1" applyAlignment="1">
      <alignment horizontal="center" vertical="center"/>
    </xf>
    <xf numFmtId="0" fontId="16" fillId="7" borderId="153" xfId="0" applyFont="1" applyFill="1" applyBorder="1" applyAlignment="1" applyProtection="1">
      <alignment horizontal="center" vertical="center"/>
      <protection locked="0"/>
    </xf>
    <xf numFmtId="0" fontId="16" fillId="7" borderId="152" xfId="0" applyFont="1" applyFill="1" applyBorder="1" applyAlignment="1" applyProtection="1">
      <alignment horizontal="center" vertical="center"/>
      <protection locked="0"/>
    </xf>
    <xf numFmtId="0" fontId="16" fillId="7" borderId="154" xfId="0" applyFont="1" applyFill="1" applyBorder="1" applyAlignment="1" applyProtection="1">
      <alignment horizontal="center" vertical="center"/>
      <protection locked="0"/>
    </xf>
    <xf numFmtId="0" fontId="16" fillId="7" borderId="155" xfId="0" applyFont="1" applyFill="1" applyBorder="1" applyAlignment="1" applyProtection="1">
      <alignment horizontal="center" vertical="center"/>
      <protection locked="0"/>
    </xf>
    <xf numFmtId="0" fontId="16" fillId="7" borderId="156" xfId="0" applyFont="1" applyFill="1" applyBorder="1" applyAlignment="1" applyProtection="1">
      <alignment horizontal="center" vertical="center"/>
      <protection locked="0"/>
    </xf>
    <xf numFmtId="0" fontId="16" fillId="7" borderId="157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44" fontId="16" fillId="7" borderId="24" xfId="0" applyNumberFormat="1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 applyProtection="1">
      <alignment horizontal="center" vertical="center"/>
      <protection locked="0"/>
    </xf>
    <xf numFmtId="0" fontId="16" fillId="7" borderId="28" xfId="0" applyFont="1" applyFill="1" applyBorder="1" applyAlignment="1" applyProtection="1">
      <alignment horizontal="center" vertical="center"/>
      <protection locked="0"/>
    </xf>
    <xf numFmtId="0" fontId="16" fillId="7" borderId="158" xfId="0" applyFont="1" applyFill="1" applyBorder="1" applyAlignment="1">
      <alignment horizontal="center" vertical="center"/>
    </xf>
    <xf numFmtId="0" fontId="16" fillId="7" borderId="159" xfId="0" applyFont="1" applyFill="1" applyBorder="1" applyAlignment="1">
      <alignment horizontal="center" vertical="center"/>
    </xf>
    <xf numFmtId="44" fontId="16" fillId="7" borderId="159" xfId="0" applyNumberFormat="1" applyFont="1" applyFill="1" applyBorder="1" applyAlignment="1" applyProtection="1">
      <alignment horizontal="center" vertical="center"/>
      <protection locked="0"/>
    </xf>
    <xf numFmtId="0" fontId="16" fillId="7" borderId="160" xfId="0" applyFont="1" applyFill="1" applyBorder="1" applyAlignment="1" applyProtection="1">
      <alignment horizontal="center" vertical="center"/>
      <protection locked="0"/>
    </xf>
    <xf numFmtId="0" fontId="16" fillId="7" borderId="159" xfId="0" applyFont="1" applyFill="1" applyBorder="1" applyAlignment="1" applyProtection="1">
      <alignment horizontal="center" vertical="center"/>
      <protection locked="0"/>
    </xf>
    <xf numFmtId="0" fontId="16" fillId="7" borderId="161" xfId="0" applyFont="1" applyFill="1" applyBorder="1" applyAlignment="1" applyProtection="1">
      <alignment horizontal="center" vertical="center"/>
      <protection locked="0"/>
    </xf>
    <xf numFmtId="0" fontId="16" fillId="7" borderId="129" xfId="0" applyFont="1" applyFill="1" applyBorder="1" applyAlignment="1">
      <alignment horizontal="center" vertical="center"/>
    </xf>
    <xf numFmtId="0" fontId="16" fillId="7" borderId="133" xfId="0" applyFont="1" applyFill="1" applyBorder="1" applyAlignment="1">
      <alignment horizontal="center" vertical="center"/>
    </xf>
    <xf numFmtId="0" fontId="16" fillId="7" borderId="162" xfId="0" applyFont="1" applyFill="1" applyBorder="1" applyAlignment="1" applyProtection="1">
      <alignment horizontal="center" vertical="center"/>
      <protection locked="0"/>
    </xf>
    <xf numFmtId="0" fontId="16" fillId="7" borderId="163" xfId="0" applyFont="1" applyFill="1" applyBorder="1" applyAlignment="1" applyProtection="1">
      <alignment horizontal="center" vertical="center"/>
      <protection locked="0"/>
    </xf>
    <xf numFmtId="166" fontId="3" fillId="0" borderId="164" xfId="1" applyFont="1" applyBorder="1" applyAlignment="1">
      <alignment horizontal="center" vertical="center" wrapText="1"/>
    </xf>
    <xf numFmtId="166" fontId="25" fillId="0" borderId="165" xfId="1" applyFont="1" applyBorder="1" applyAlignment="1">
      <alignment horizontal="center" vertical="center"/>
    </xf>
    <xf numFmtId="0" fontId="32" fillId="9" borderId="168" xfId="0" applyFont="1" applyFill="1" applyBorder="1" applyAlignment="1">
      <alignment vertical="center"/>
    </xf>
    <xf numFmtId="166" fontId="25" fillId="0" borderId="169" xfId="1" applyFont="1" applyBorder="1" applyAlignment="1">
      <alignment horizontal="justify" vertical="center" wrapText="1"/>
    </xf>
    <xf numFmtId="186" fontId="3" fillId="0" borderId="164" xfId="1" applyNumberFormat="1" applyFont="1" applyBorder="1" applyAlignment="1">
      <alignment horizontal="center" vertical="center" wrapText="1"/>
    </xf>
    <xf numFmtId="166" fontId="34" fillId="0" borderId="170" xfId="1" applyFont="1" applyBorder="1" applyAlignment="1">
      <alignment vertical="center"/>
    </xf>
    <xf numFmtId="166" fontId="34" fillId="0" borderId="120" xfId="1" applyFont="1" applyBorder="1" applyAlignment="1">
      <alignment horizontal="center" vertical="center"/>
    </xf>
    <xf numFmtId="166" fontId="34" fillId="0" borderId="171" xfId="1" applyFont="1" applyBorder="1" applyAlignment="1">
      <alignment vertical="center"/>
    </xf>
    <xf numFmtId="166" fontId="34" fillId="0" borderId="172" xfId="1" applyFont="1" applyBorder="1" applyAlignment="1">
      <alignment horizontal="center" vertical="center"/>
    </xf>
    <xf numFmtId="186" fontId="3" fillId="0" borderId="173" xfId="1" applyNumberFormat="1" applyFont="1" applyBorder="1" applyAlignment="1">
      <alignment horizontal="center" vertical="center" wrapText="1"/>
    </xf>
    <xf numFmtId="166" fontId="3" fillId="0" borderId="173" xfId="1" applyFont="1" applyBorder="1" applyAlignment="1">
      <alignment horizontal="center" vertical="center" wrapText="1"/>
    </xf>
    <xf numFmtId="166" fontId="25" fillId="0" borderId="174" xfId="1" applyFont="1" applyBorder="1" applyAlignment="1">
      <alignment horizontal="center" vertical="center"/>
    </xf>
    <xf numFmtId="166" fontId="25" fillId="0" borderId="175" xfId="1" applyFont="1" applyBorder="1" applyAlignment="1">
      <alignment horizontal="justify" vertical="center" wrapText="1"/>
    </xf>
    <xf numFmtId="166" fontId="34" fillId="0" borderId="176" xfId="1" applyFont="1" applyBorder="1" applyAlignment="1">
      <alignment vertical="center"/>
    </xf>
    <xf numFmtId="166" fontId="34" fillId="0" borderId="177" xfId="1" applyFont="1" applyBorder="1" applyAlignment="1">
      <alignment horizontal="center" vertical="center"/>
    </xf>
    <xf numFmtId="186" fontId="3" fillId="0" borderId="178" xfId="1" applyNumberFormat="1" applyFont="1" applyBorder="1" applyAlignment="1">
      <alignment horizontal="center" vertical="center" wrapText="1"/>
    </xf>
    <xf numFmtId="166" fontId="3" fillId="0" borderId="178" xfId="1" applyFont="1" applyBorder="1" applyAlignment="1">
      <alignment horizontal="center" vertical="center" wrapText="1"/>
    </xf>
    <xf numFmtId="166" fontId="25" fillId="0" borderId="179" xfId="1" applyFont="1" applyBorder="1" applyAlignment="1">
      <alignment horizontal="center" vertical="center"/>
    </xf>
    <xf numFmtId="166" fontId="25" fillId="0" borderId="180" xfId="1" applyFont="1" applyBorder="1" applyAlignment="1">
      <alignment horizontal="justify" vertical="center" wrapText="1"/>
    </xf>
    <xf numFmtId="166" fontId="34" fillId="0" borderId="181" xfId="1" applyFont="1" applyBorder="1" applyAlignment="1">
      <alignment vertical="center"/>
    </xf>
    <xf numFmtId="166" fontId="34" fillId="0" borderId="182" xfId="1" applyFont="1" applyBorder="1" applyAlignment="1">
      <alignment horizontal="center" vertical="center"/>
    </xf>
    <xf numFmtId="186" fontId="3" fillId="0" borderId="183" xfId="1" applyNumberFormat="1" applyFont="1" applyBorder="1" applyAlignment="1">
      <alignment horizontal="center" vertical="center" wrapText="1"/>
    </xf>
    <xf numFmtId="166" fontId="3" fillId="0" borderId="183" xfId="1" applyFont="1" applyBorder="1" applyAlignment="1">
      <alignment horizontal="center" vertical="center" wrapText="1"/>
    </xf>
    <xf numFmtId="166" fontId="25" fillId="0" borderId="184" xfId="1" applyFont="1" applyBorder="1" applyAlignment="1">
      <alignment horizontal="center" vertical="center"/>
    </xf>
    <xf numFmtId="166" fontId="25" fillId="0" borderId="185" xfId="1" applyFont="1" applyBorder="1" applyAlignment="1">
      <alignment horizontal="justify" vertical="center" wrapText="1"/>
    </xf>
    <xf numFmtId="166" fontId="34" fillId="0" borderId="186" xfId="1" applyFont="1" applyBorder="1" applyAlignment="1">
      <alignment vertical="center"/>
    </xf>
    <xf numFmtId="166" fontId="34" fillId="0" borderId="187" xfId="1" applyFont="1" applyBorder="1" applyAlignment="1">
      <alignment horizontal="center" vertical="center"/>
    </xf>
    <xf numFmtId="186" fontId="3" fillId="0" borderId="188" xfId="1" applyNumberFormat="1" applyFont="1" applyBorder="1" applyAlignment="1">
      <alignment horizontal="center" vertical="center" wrapText="1"/>
    </xf>
    <xf numFmtId="166" fontId="3" fillId="0" borderId="188" xfId="1" applyFont="1" applyBorder="1" applyAlignment="1">
      <alignment horizontal="center" vertical="center" wrapText="1"/>
    </xf>
    <xf numFmtId="166" fontId="25" fillId="0" borderId="189" xfId="1" applyFont="1" applyBorder="1" applyAlignment="1">
      <alignment horizontal="center" vertical="center"/>
    </xf>
    <xf numFmtId="166" fontId="25" fillId="0" borderId="190" xfId="1" applyFont="1" applyBorder="1" applyAlignment="1">
      <alignment horizontal="justify" vertical="center" wrapText="1"/>
    </xf>
    <xf numFmtId="166" fontId="34" fillId="0" borderId="191" xfId="1" applyFont="1" applyBorder="1" applyAlignment="1">
      <alignment vertical="center"/>
    </xf>
    <xf numFmtId="166" fontId="34" fillId="0" borderId="192" xfId="1" applyFont="1" applyBorder="1" applyAlignment="1">
      <alignment horizontal="center" vertical="center"/>
    </xf>
    <xf numFmtId="186" fontId="3" fillId="0" borderId="193" xfId="1" applyNumberFormat="1" applyFont="1" applyBorder="1" applyAlignment="1">
      <alignment horizontal="center" vertical="center" wrapText="1"/>
    </xf>
    <xf numFmtId="166" fontId="3" fillId="0" borderId="193" xfId="1" applyFont="1" applyBorder="1" applyAlignment="1">
      <alignment horizontal="center" vertical="center" wrapText="1"/>
    </xf>
    <xf numFmtId="166" fontId="25" fillId="0" borderId="194" xfId="1" applyFont="1" applyBorder="1" applyAlignment="1">
      <alignment horizontal="center" vertical="center"/>
    </xf>
    <xf numFmtId="166" fontId="25" fillId="0" borderId="195" xfId="1" applyFont="1" applyBorder="1" applyAlignment="1">
      <alignment horizontal="justify" vertical="center" wrapText="1"/>
    </xf>
    <xf numFmtId="166" fontId="34" fillId="0" borderId="196" xfId="1" applyFont="1" applyBorder="1" applyAlignment="1">
      <alignment vertical="center"/>
    </xf>
    <xf numFmtId="166" fontId="34" fillId="0" borderId="197" xfId="1" applyFont="1" applyBorder="1" applyAlignment="1">
      <alignment horizontal="center" vertical="center"/>
    </xf>
    <xf numFmtId="186" fontId="3" fillId="0" borderId="198" xfId="1" applyNumberFormat="1" applyFont="1" applyBorder="1" applyAlignment="1">
      <alignment horizontal="center" vertical="center" wrapText="1"/>
    </xf>
    <xf numFmtId="166" fontId="3" fillId="0" borderId="198" xfId="1" applyFont="1" applyBorder="1" applyAlignment="1">
      <alignment horizontal="center" vertical="center" wrapText="1"/>
    </xf>
    <xf numFmtId="166" fontId="25" fillId="0" borderId="199" xfId="1" applyFont="1" applyBorder="1" applyAlignment="1">
      <alignment horizontal="center" vertical="center"/>
    </xf>
    <xf numFmtId="166" fontId="25" fillId="0" borderId="200" xfId="1" applyFont="1" applyBorder="1" applyAlignment="1">
      <alignment horizontal="justify" vertical="center" wrapText="1"/>
    </xf>
    <xf numFmtId="166" fontId="34" fillId="0" borderId="201" xfId="1" applyFont="1" applyBorder="1" applyAlignment="1">
      <alignment vertical="center"/>
    </xf>
    <xf numFmtId="166" fontId="34" fillId="0" borderId="202" xfId="1" applyFont="1" applyBorder="1" applyAlignment="1">
      <alignment horizontal="center" vertical="center"/>
    </xf>
    <xf numFmtId="186" fontId="3" fillId="0" borderId="203" xfId="1" applyNumberFormat="1" applyFont="1" applyBorder="1" applyAlignment="1">
      <alignment horizontal="center" vertical="center" wrapText="1"/>
    </xf>
    <xf numFmtId="166" fontId="3" fillId="0" borderId="203" xfId="1" applyFont="1" applyBorder="1" applyAlignment="1">
      <alignment horizontal="center" vertical="center" wrapText="1"/>
    </xf>
    <xf numFmtId="166" fontId="25" fillId="0" borderId="204" xfId="1" applyFont="1" applyBorder="1" applyAlignment="1">
      <alignment horizontal="center" vertical="center"/>
    </xf>
    <xf numFmtId="0" fontId="25" fillId="0" borderId="205" xfId="0" applyFont="1" applyBorder="1" applyAlignment="1">
      <alignment horizontal="left" vertical="center" wrapText="1"/>
    </xf>
    <xf numFmtId="186" fontId="3" fillId="0" borderId="206" xfId="1" applyNumberFormat="1" applyFont="1" applyBorder="1" applyAlignment="1">
      <alignment horizontal="center" vertical="center" wrapText="1"/>
    </xf>
    <xf numFmtId="166" fontId="34" fillId="0" borderId="207" xfId="1" applyFont="1" applyBorder="1" applyAlignment="1">
      <alignment vertical="center"/>
    </xf>
    <xf numFmtId="166" fontId="34" fillId="0" borderId="208" xfId="1" applyFont="1" applyBorder="1" applyAlignment="1">
      <alignment horizontal="center" vertical="center"/>
    </xf>
    <xf numFmtId="186" fontId="3" fillId="0" borderId="209" xfId="1" applyNumberFormat="1" applyFont="1" applyBorder="1" applyAlignment="1">
      <alignment horizontal="center" vertical="center" wrapText="1"/>
    </xf>
    <xf numFmtId="166" fontId="3" fillId="0" borderId="209" xfId="1" applyFont="1" applyBorder="1" applyAlignment="1">
      <alignment horizontal="center" vertical="center" wrapText="1"/>
    </xf>
    <xf numFmtId="166" fontId="25" fillId="0" borderId="210" xfId="1" applyFont="1" applyBorder="1" applyAlignment="1">
      <alignment horizontal="center" vertical="center"/>
    </xf>
    <xf numFmtId="0" fontId="25" fillId="0" borderId="211" xfId="0" applyFont="1" applyBorder="1" applyAlignment="1">
      <alignment horizontal="left" vertical="center" wrapText="1"/>
    </xf>
    <xf numFmtId="186" fontId="3" fillId="0" borderId="212" xfId="1" applyNumberFormat="1" applyFont="1" applyBorder="1" applyAlignment="1">
      <alignment horizontal="center" vertical="center" wrapText="1"/>
    </xf>
    <xf numFmtId="166" fontId="34" fillId="0" borderId="213" xfId="1" applyFont="1" applyBorder="1" applyAlignment="1">
      <alignment vertical="center"/>
    </xf>
    <xf numFmtId="166" fontId="34" fillId="0" borderId="214" xfId="1" applyFont="1" applyBorder="1" applyAlignment="1">
      <alignment horizontal="center" vertical="center"/>
    </xf>
    <xf numFmtId="186" fontId="3" fillId="0" borderId="215" xfId="1" applyNumberFormat="1" applyFont="1" applyBorder="1" applyAlignment="1">
      <alignment horizontal="center" vertical="center" wrapText="1"/>
    </xf>
    <xf numFmtId="166" fontId="3" fillId="0" borderId="215" xfId="1" applyFont="1" applyBorder="1" applyAlignment="1">
      <alignment horizontal="center" vertical="center" wrapText="1"/>
    </xf>
    <xf numFmtId="166" fontId="25" fillId="0" borderId="216" xfId="1" applyFont="1" applyBorder="1" applyAlignment="1">
      <alignment horizontal="center" vertical="center"/>
    </xf>
    <xf numFmtId="0" fontId="25" fillId="0" borderId="217" xfId="0" applyFont="1" applyBorder="1" applyAlignment="1">
      <alignment horizontal="left" vertical="center" wrapText="1"/>
    </xf>
    <xf numFmtId="186" fontId="3" fillId="0" borderId="218" xfId="1" applyNumberFormat="1" applyFont="1" applyBorder="1" applyAlignment="1">
      <alignment horizontal="center" vertical="center" wrapText="1"/>
    </xf>
    <xf numFmtId="166" fontId="34" fillId="0" borderId="219" xfId="1" applyFont="1" applyBorder="1" applyAlignment="1">
      <alignment vertical="center"/>
    </xf>
    <xf numFmtId="166" fontId="34" fillId="0" borderId="220" xfId="1" applyFont="1" applyBorder="1" applyAlignment="1">
      <alignment horizontal="center" vertical="center"/>
    </xf>
    <xf numFmtId="186" fontId="3" fillId="0" borderId="221" xfId="1" applyNumberFormat="1" applyFont="1" applyBorder="1" applyAlignment="1">
      <alignment horizontal="center" vertical="center" wrapText="1"/>
    </xf>
    <xf numFmtId="166" fontId="3" fillId="0" borderId="221" xfId="1" applyFont="1" applyBorder="1" applyAlignment="1">
      <alignment horizontal="center" vertical="center" wrapText="1"/>
    </xf>
    <xf numFmtId="166" fontId="25" fillId="0" borderId="222" xfId="1" applyFont="1" applyBorder="1" applyAlignment="1">
      <alignment horizontal="center" vertical="center"/>
    </xf>
    <xf numFmtId="0" fontId="25" fillId="0" borderId="223" xfId="0" applyFont="1" applyBorder="1" applyAlignment="1">
      <alignment horizontal="left" vertical="center" wrapText="1"/>
    </xf>
    <xf numFmtId="186" fontId="3" fillId="0" borderId="224" xfId="1" applyNumberFormat="1" applyFont="1" applyBorder="1" applyAlignment="1">
      <alignment horizontal="center" vertical="center" wrapText="1"/>
    </xf>
    <xf numFmtId="166" fontId="34" fillId="0" borderId="225" xfId="1" applyFont="1" applyBorder="1" applyAlignment="1">
      <alignment vertical="center"/>
    </xf>
    <xf numFmtId="166" fontId="34" fillId="0" borderId="226" xfId="1" applyFont="1" applyBorder="1" applyAlignment="1">
      <alignment horizontal="center" vertical="center"/>
    </xf>
    <xf numFmtId="186" fontId="3" fillId="0" borderId="227" xfId="1" applyNumberFormat="1" applyFont="1" applyBorder="1" applyAlignment="1">
      <alignment horizontal="center" vertical="center" wrapText="1"/>
    </xf>
    <xf numFmtId="166" fontId="3" fillId="0" borderId="227" xfId="1" applyFont="1" applyBorder="1" applyAlignment="1">
      <alignment horizontal="center" vertical="center" wrapText="1"/>
    </xf>
    <xf numFmtId="166" fontId="25" fillId="0" borderId="228" xfId="1" applyFont="1" applyBorder="1" applyAlignment="1">
      <alignment horizontal="center" vertical="center"/>
    </xf>
    <xf numFmtId="0" fontId="25" fillId="0" borderId="229" xfId="0" applyFont="1" applyBorder="1" applyAlignment="1">
      <alignment horizontal="left" vertical="center" wrapText="1"/>
    </xf>
    <xf numFmtId="186" fontId="3" fillId="0" borderId="230" xfId="1" applyNumberFormat="1" applyFont="1" applyBorder="1" applyAlignment="1">
      <alignment horizontal="center" vertical="center" wrapText="1"/>
    </xf>
    <xf numFmtId="166" fontId="34" fillId="0" borderId="231" xfId="1" applyFont="1" applyBorder="1" applyAlignment="1">
      <alignment vertical="center"/>
    </xf>
    <xf numFmtId="166" fontId="34" fillId="0" borderId="232" xfId="1" applyFont="1" applyBorder="1" applyAlignment="1">
      <alignment horizontal="center" vertical="center"/>
    </xf>
    <xf numFmtId="186" fontId="3" fillId="0" borderId="233" xfId="1" applyNumberFormat="1" applyFont="1" applyBorder="1" applyAlignment="1">
      <alignment horizontal="center" vertical="center" wrapText="1"/>
    </xf>
    <xf numFmtId="166" fontId="3" fillId="0" borderId="233" xfId="1" applyFont="1" applyBorder="1" applyAlignment="1">
      <alignment horizontal="center" vertical="center" wrapText="1"/>
    </xf>
    <xf numFmtId="166" fontId="25" fillId="0" borderId="234" xfId="1" applyFont="1" applyBorder="1" applyAlignment="1">
      <alignment horizontal="center" vertical="center"/>
    </xf>
    <xf numFmtId="0" fontId="25" fillId="0" borderId="235" xfId="0" applyFont="1" applyBorder="1" applyAlignment="1">
      <alignment horizontal="left" vertical="center" wrapText="1"/>
    </xf>
    <xf numFmtId="186" fontId="3" fillId="0" borderId="236" xfId="1" applyNumberFormat="1" applyFont="1" applyBorder="1" applyAlignment="1">
      <alignment horizontal="center" vertical="center" wrapText="1"/>
    </xf>
    <xf numFmtId="166" fontId="34" fillId="0" borderId="237" xfId="1" applyFont="1" applyBorder="1" applyAlignment="1">
      <alignment vertical="center"/>
    </xf>
    <xf numFmtId="166" fontId="34" fillId="0" borderId="238" xfId="1" applyFont="1" applyBorder="1" applyAlignment="1">
      <alignment horizontal="center" vertical="center"/>
    </xf>
    <xf numFmtId="186" fontId="3" fillId="0" borderId="239" xfId="1" applyNumberFormat="1" applyFont="1" applyBorder="1" applyAlignment="1">
      <alignment horizontal="center" vertical="center" wrapText="1"/>
    </xf>
    <xf numFmtId="166" fontId="3" fillId="0" borderId="239" xfId="1" applyFont="1" applyBorder="1" applyAlignment="1">
      <alignment horizontal="center" vertical="center" wrapText="1"/>
    </xf>
    <xf numFmtId="166" fontId="25" fillId="0" borderId="240" xfId="1" applyFont="1" applyBorder="1" applyAlignment="1">
      <alignment horizontal="center" vertical="center"/>
    </xf>
    <xf numFmtId="0" fontId="25" fillId="0" borderId="241" xfId="0" applyFont="1" applyBorder="1" applyAlignment="1">
      <alignment horizontal="left" vertical="center" wrapText="1"/>
    </xf>
    <xf numFmtId="186" fontId="3" fillId="0" borderId="242" xfId="1" applyNumberFormat="1" applyFont="1" applyBorder="1" applyAlignment="1">
      <alignment horizontal="center" vertical="center" wrapText="1"/>
    </xf>
    <xf numFmtId="166" fontId="34" fillId="0" borderId="243" xfId="1" applyFont="1" applyBorder="1" applyAlignment="1">
      <alignment vertical="center"/>
    </xf>
    <xf numFmtId="166" fontId="34" fillId="0" borderId="244" xfId="1" applyFont="1" applyBorder="1" applyAlignment="1">
      <alignment horizontal="center" vertical="center"/>
    </xf>
    <xf numFmtId="186" fontId="3" fillId="0" borderId="245" xfId="1" applyNumberFormat="1" applyFont="1" applyBorder="1" applyAlignment="1">
      <alignment horizontal="center" vertical="center" wrapText="1"/>
    </xf>
    <xf numFmtId="166" fontId="3" fillId="0" borderId="245" xfId="1" applyFont="1" applyBorder="1" applyAlignment="1">
      <alignment horizontal="center" vertical="center" wrapText="1"/>
    </xf>
    <xf numFmtId="166" fontId="25" fillId="0" borderId="246" xfId="1" applyFont="1" applyBorder="1" applyAlignment="1">
      <alignment horizontal="center" vertical="center"/>
    </xf>
    <xf numFmtId="0" fontId="4" fillId="13" borderId="248" xfId="0" applyFont="1" applyFill="1" applyBorder="1" applyAlignment="1">
      <alignment horizontal="center" vertical="center" wrapText="1"/>
    </xf>
    <xf numFmtId="183" fontId="24" fillId="13" borderId="249" xfId="0" applyNumberFormat="1" applyFont="1" applyFill="1" applyBorder="1" applyAlignment="1">
      <alignment vertical="center"/>
    </xf>
    <xf numFmtId="166" fontId="4" fillId="4" borderId="249" xfId="1" applyFont="1" applyFill="1" applyBorder="1" applyAlignment="1">
      <alignment vertical="center"/>
    </xf>
    <xf numFmtId="167" fontId="4" fillId="4" borderId="248" xfId="0" applyNumberFormat="1" applyFont="1" applyFill="1" applyBorder="1" applyAlignment="1">
      <alignment horizontal="left" vertical="center"/>
    </xf>
    <xf numFmtId="0" fontId="16" fillId="4" borderId="248" xfId="0" applyFont="1" applyFill="1" applyBorder="1"/>
    <xf numFmtId="44" fontId="4" fillId="4" borderId="249" xfId="1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2" fillId="9" borderId="251" xfId="0" applyFont="1" applyFill="1" applyBorder="1" applyAlignment="1">
      <alignment horizontal="left" vertical="center"/>
    </xf>
    <xf numFmtId="0" fontId="4" fillId="9" borderId="248" xfId="0" applyFont="1" applyFill="1" applyBorder="1" applyAlignment="1">
      <alignment horizontal="center" vertical="center" wrapText="1"/>
    </xf>
    <xf numFmtId="0" fontId="24" fillId="9" borderId="248" xfId="0" applyFont="1" applyFill="1" applyBorder="1" applyAlignment="1">
      <alignment horizontal="center" vertical="center" wrapText="1"/>
    </xf>
    <xf numFmtId="166" fontId="24" fillId="9" borderId="248" xfId="1" applyFont="1" applyFill="1" applyBorder="1" applyAlignment="1">
      <alignment horizontal="center" vertical="center" wrapText="1"/>
    </xf>
    <xf numFmtId="0" fontId="32" fillId="9" borderId="252" xfId="0" applyFont="1" applyFill="1" applyBorder="1" applyAlignment="1">
      <alignment horizontal="left" vertical="center"/>
    </xf>
    <xf numFmtId="0" fontId="15" fillId="4" borderId="248" xfId="0" applyFont="1" applyFill="1" applyBorder="1" applyAlignment="1">
      <alignment horizontal="center" vertical="center"/>
    </xf>
    <xf numFmtId="166" fontId="24" fillId="9" borderId="249" xfId="1" applyFont="1" applyFill="1" applyBorder="1" applyAlignment="1">
      <alignment horizontal="center" vertical="center" wrapText="1"/>
    </xf>
    <xf numFmtId="166" fontId="25" fillId="0" borderId="251" xfId="1" applyFont="1" applyBorder="1" applyAlignment="1">
      <alignment horizontal="justify" vertical="center" wrapText="1"/>
    </xf>
    <xf numFmtId="186" fontId="3" fillId="0" borderId="48" xfId="1" applyNumberFormat="1" applyFont="1" applyBorder="1" applyAlignment="1">
      <alignment horizontal="center" vertical="center" wrapText="1"/>
    </xf>
    <xf numFmtId="166" fontId="34" fillId="0" borderId="247" xfId="0" applyNumberFormat="1" applyFont="1" applyBorder="1" applyAlignment="1">
      <alignment vertical="center"/>
    </xf>
    <xf numFmtId="166" fontId="34" fillId="0" borderId="248" xfId="0" applyNumberFormat="1" applyFont="1" applyBorder="1" applyAlignment="1">
      <alignment horizontal="center" vertical="center"/>
    </xf>
    <xf numFmtId="186" fontId="3" fillId="0" borderId="248" xfId="0" applyNumberFormat="1" applyFont="1" applyBorder="1" applyAlignment="1">
      <alignment horizontal="center" vertical="center" wrapText="1"/>
    </xf>
    <xf numFmtId="166" fontId="25" fillId="0" borderId="247" xfId="1" applyFont="1" applyBorder="1" applyAlignment="1">
      <alignment horizontal="left" vertical="center" wrapText="1"/>
    </xf>
    <xf numFmtId="0" fontId="3" fillId="0" borderId="248" xfId="0" applyFont="1" applyBorder="1" applyAlignment="1">
      <alignment horizontal="center" vertical="center" wrapText="1"/>
    </xf>
    <xf numFmtId="166" fontId="25" fillId="0" borderId="253" xfId="1" applyFont="1" applyBorder="1" applyAlignment="1">
      <alignment horizontal="center" vertical="center"/>
    </xf>
    <xf numFmtId="166" fontId="34" fillId="0" borderId="256" xfId="0" applyNumberFormat="1" applyFont="1" applyBorder="1" applyAlignment="1">
      <alignment vertical="center"/>
    </xf>
    <xf numFmtId="166" fontId="34" fillId="0" borderId="255" xfId="0" applyNumberFormat="1" applyFont="1" applyBorder="1" applyAlignment="1">
      <alignment horizontal="center" vertical="center"/>
    </xf>
    <xf numFmtId="166" fontId="3" fillId="0" borderId="257" xfId="1" applyFont="1" applyBorder="1" applyAlignment="1">
      <alignment horizontal="center" vertical="center" wrapText="1"/>
    </xf>
    <xf numFmtId="166" fontId="3" fillId="0" borderId="258" xfId="1" applyFont="1" applyBorder="1" applyAlignment="1">
      <alignment horizontal="center" vertical="center" wrapText="1"/>
    </xf>
    <xf numFmtId="166" fontId="25" fillId="0" borderId="259" xfId="1" applyFont="1" applyBorder="1" applyAlignment="1">
      <alignment horizontal="center" vertical="center"/>
    </xf>
    <xf numFmtId="166" fontId="25" fillId="0" borderId="260" xfId="1" applyFont="1" applyBorder="1" applyAlignment="1">
      <alignment horizontal="justify" vertical="center" wrapText="1"/>
    </xf>
    <xf numFmtId="166" fontId="34" fillId="0" borderId="261" xfId="0" applyNumberFormat="1" applyFont="1" applyBorder="1" applyAlignment="1">
      <alignment vertical="center"/>
    </xf>
    <xf numFmtId="166" fontId="3" fillId="0" borderId="262" xfId="1" applyFont="1" applyBorder="1" applyAlignment="1">
      <alignment horizontal="center" vertical="center" wrapText="1"/>
    </xf>
    <xf numFmtId="166" fontId="3" fillId="0" borderId="263" xfId="1" applyFont="1" applyBorder="1" applyAlignment="1">
      <alignment horizontal="center" vertical="center" wrapText="1"/>
    </xf>
    <xf numFmtId="166" fontId="25" fillId="0" borderId="264" xfId="1" applyFont="1" applyBorder="1" applyAlignment="1">
      <alignment horizontal="center" vertical="center"/>
    </xf>
    <xf numFmtId="166" fontId="25" fillId="0" borderId="265" xfId="1" applyFont="1" applyBorder="1" applyAlignment="1">
      <alignment horizontal="justify" vertical="center" wrapText="1"/>
    </xf>
    <xf numFmtId="166" fontId="34" fillId="0" borderId="266" xfId="0" applyNumberFormat="1" applyFont="1" applyBorder="1" applyAlignment="1">
      <alignment vertical="center"/>
    </xf>
    <xf numFmtId="166" fontId="3" fillId="0" borderId="267" xfId="1" applyFont="1" applyBorder="1" applyAlignment="1">
      <alignment horizontal="center" vertical="center" wrapText="1"/>
    </xf>
    <xf numFmtId="166" fontId="3" fillId="0" borderId="268" xfId="1" applyFont="1" applyBorder="1" applyAlignment="1">
      <alignment horizontal="center" vertical="center" wrapText="1"/>
    </xf>
    <xf numFmtId="166" fontId="25" fillId="0" borderId="269" xfId="1" applyFont="1" applyBorder="1" applyAlignment="1">
      <alignment horizontal="center" vertical="center"/>
    </xf>
    <xf numFmtId="166" fontId="25" fillId="0" borderId="270" xfId="1" applyFont="1" applyBorder="1" applyAlignment="1">
      <alignment horizontal="justify" vertical="center" wrapText="1"/>
    </xf>
    <xf numFmtId="166" fontId="34" fillId="0" borderId="271" xfId="0" applyNumberFormat="1" applyFont="1" applyBorder="1" applyAlignment="1">
      <alignment vertical="center"/>
    </xf>
    <xf numFmtId="166" fontId="3" fillId="0" borderId="272" xfId="1" applyFont="1" applyBorder="1" applyAlignment="1">
      <alignment horizontal="center" vertical="center" wrapText="1"/>
    </xf>
    <xf numFmtId="166" fontId="3" fillId="0" borderId="273" xfId="1" applyFont="1" applyBorder="1" applyAlignment="1">
      <alignment horizontal="center" vertical="center" wrapText="1"/>
    </xf>
    <xf numFmtId="166" fontId="25" fillId="0" borderId="274" xfId="1" applyFont="1" applyBorder="1" applyAlignment="1">
      <alignment horizontal="center" vertical="center"/>
    </xf>
    <xf numFmtId="166" fontId="25" fillId="0" borderId="275" xfId="1" applyFont="1" applyBorder="1" applyAlignment="1">
      <alignment horizontal="justify" vertical="center" wrapText="1"/>
    </xf>
    <xf numFmtId="166" fontId="34" fillId="0" borderId="276" xfId="0" applyNumberFormat="1" applyFont="1" applyBorder="1" applyAlignment="1">
      <alignment vertical="center"/>
    </xf>
    <xf numFmtId="166" fontId="3" fillId="0" borderId="277" xfId="1" applyFont="1" applyBorder="1" applyAlignment="1">
      <alignment horizontal="center" vertical="center" wrapText="1"/>
    </xf>
    <xf numFmtId="166" fontId="3" fillId="0" borderId="278" xfId="1" applyFont="1" applyBorder="1" applyAlignment="1">
      <alignment horizontal="center" vertical="center" wrapText="1"/>
    </xf>
    <xf numFmtId="166" fontId="25" fillId="0" borderId="279" xfId="1" applyFont="1" applyBorder="1" applyAlignment="1">
      <alignment horizontal="center" vertical="center"/>
    </xf>
    <xf numFmtId="166" fontId="25" fillId="0" borderId="280" xfId="1" applyFont="1" applyBorder="1" applyAlignment="1">
      <alignment horizontal="justify" vertical="center" wrapText="1"/>
    </xf>
    <xf numFmtId="166" fontId="34" fillId="0" borderId="281" xfId="0" applyNumberFormat="1" applyFont="1" applyBorder="1" applyAlignment="1">
      <alignment vertical="center"/>
    </xf>
    <xf numFmtId="166" fontId="3" fillId="0" borderId="282" xfId="1" applyFont="1" applyBorder="1" applyAlignment="1">
      <alignment horizontal="center" vertical="center" wrapText="1"/>
    </xf>
    <xf numFmtId="166" fontId="3" fillId="0" borderId="283" xfId="1" applyFont="1" applyBorder="1" applyAlignment="1">
      <alignment horizontal="center" vertical="center" wrapText="1"/>
    </xf>
    <xf numFmtId="166" fontId="25" fillId="0" borderId="284" xfId="1" applyFont="1" applyBorder="1" applyAlignment="1">
      <alignment horizontal="center" vertical="center"/>
    </xf>
    <xf numFmtId="166" fontId="25" fillId="0" borderId="285" xfId="1" applyFont="1" applyBorder="1" applyAlignment="1">
      <alignment horizontal="justify" vertical="center" wrapText="1"/>
    </xf>
    <xf numFmtId="166" fontId="34" fillId="0" borderId="286" xfId="0" applyNumberFormat="1" applyFont="1" applyBorder="1" applyAlignment="1">
      <alignment vertical="center"/>
    </xf>
    <xf numFmtId="166" fontId="3" fillId="0" borderId="287" xfId="1" applyFont="1" applyBorder="1" applyAlignment="1">
      <alignment horizontal="center" vertical="center" wrapText="1"/>
    </xf>
    <xf numFmtId="166" fontId="3" fillId="0" borderId="288" xfId="1" applyFont="1" applyBorder="1" applyAlignment="1">
      <alignment horizontal="center" vertical="center" wrapText="1"/>
    </xf>
    <xf numFmtId="166" fontId="25" fillId="0" borderId="289" xfId="1" applyFont="1" applyBorder="1" applyAlignment="1">
      <alignment horizontal="center" vertical="center"/>
    </xf>
    <xf numFmtId="166" fontId="25" fillId="0" borderId="290" xfId="1" applyFont="1" applyBorder="1" applyAlignment="1">
      <alignment horizontal="justify" vertical="center" wrapText="1"/>
    </xf>
    <xf numFmtId="166" fontId="34" fillId="0" borderId="291" xfId="0" applyNumberFormat="1" applyFont="1" applyBorder="1" applyAlignment="1">
      <alignment vertical="center"/>
    </xf>
    <xf numFmtId="166" fontId="3" fillId="0" borderId="292" xfId="1" applyFont="1" applyBorder="1" applyAlignment="1">
      <alignment horizontal="center" vertical="center" wrapText="1"/>
    </xf>
    <xf numFmtId="166" fontId="3" fillId="0" borderId="293" xfId="1" applyFont="1" applyBorder="1" applyAlignment="1">
      <alignment horizontal="center" vertical="center" wrapText="1"/>
    </xf>
    <xf numFmtId="166" fontId="25" fillId="0" borderId="294" xfId="1" applyFont="1" applyBorder="1" applyAlignment="1">
      <alignment horizontal="center" vertical="center"/>
    </xf>
    <xf numFmtId="166" fontId="25" fillId="0" borderId="295" xfId="1" applyFont="1" applyBorder="1" applyAlignment="1">
      <alignment horizontal="justify" vertical="center" wrapText="1"/>
    </xf>
    <xf numFmtId="186" fontId="3" fillId="0" borderId="292" xfId="0" applyNumberFormat="1" applyFont="1" applyBorder="1" applyAlignment="1">
      <alignment horizontal="center" vertical="center" wrapText="1"/>
    </xf>
    <xf numFmtId="166" fontId="34" fillId="0" borderId="296" xfId="0" applyNumberFormat="1" applyFont="1" applyBorder="1" applyAlignment="1">
      <alignment vertical="center"/>
    </xf>
    <xf numFmtId="166" fontId="3" fillId="0" borderId="297" xfId="1" applyFont="1" applyBorder="1" applyAlignment="1">
      <alignment horizontal="center" vertical="center" wrapText="1"/>
    </xf>
    <xf numFmtId="166" fontId="3" fillId="0" borderId="298" xfId="1" applyFont="1" applyBorder="1" applyAlignment="1">
      <alignment horizontal="center" vertical="center" wrapText="1"/>
    </xf>
    <xf numFmtId="166" fontId="25" fillId="0" borderId="299" xfId="1" applyFont="1" applyBorder="1" applyAlignment="1">
      <alignment horizontal="center" vertical="center"/>
    </xf>
    <xf numFmtId="166" fontId="25" fillId="0" borderId="300" xfId="1" applyFont="1" applyBorder="1" applyAlignment="1">
      <alignment horizontal="justify" vertical="center" wrapText="1"/>
    </xf>
    <xf numFmtId="0" fontId="3" fillId="0" borderId="297" xfId="0" applyFont="1" applyBorder="1" applyAlignment="1">
      <alignment horizontal="center" vertical="center" wrapText="1"/>
    </xf>
    <xf numFmtId="166" fontId="34" fillId="0" borderId="301" xfId="0" applyNumberFormat="1" applyFont="1" applyBorder="1" applyAlignment="1">
      <alignment vertical="center"/>
    </xf>
    <xf numFmtId="166" fontId="3" fillId="0" borderId="302" xfId="1" applyFont="1" applyBorder="1" applyAlignment="1">
      <alignment horizontal="center" vertical="center" wrapText="1"/>
    </xf>
    <xf numFmtId="166" fontId="3" fillId="0" borderId="303" xfId="1" applyFont="1" applyBorder="1" applyAlignment="1">
      <alignment horizontal="center" vertical="center" wrapText="1"/>
    </xf>
    <xf numFmtId="166" fontId="25" fillId="0" borderId="304" xfId="1" applyFont="1" applyBorder="1" applyAlignment="1">
      <alignment horizontal="center" vertical="center"/>
    </xf>
    <xf numFmtId="166" fontId="25" fillId="0" borderId="305" xfId="1" applyFont="1" applyBorder="1" applyAlignment="1">
      <alignment horizontal="left" vertical="center" wrapText="1"/>
    </xf>
    <xf numFmtId="0" fontId="3" fillId="0" borderId="302" xfId="0" applyFont="1" applyBorder="1" applyAlignment="1">
      <alignment horizontal="center" vertical="center" wrapText="1"/>
    </xf>
    <xf numFmtId="166" fontId="34" fillId="0" borderId="306" xfId="0" applyNumberFormat="1" applyFont="1" applyBorder="1" applyAlignment="1">
      <alignment vertical="center"/>
    </xf>
    <xf numFmtId="166" fontId="3" fillId="0" borderId="307" xfId="1" applyFont="1" applyBorder="1" applyAlignment="1">
      <alignment horizontal="center" vertical="center" wrapText="1"/>
    </xf>
    <xf numFmtId="166" fontId="3" fillId="0" borderId="308" xfId="1" applyFont="1" applyBorder="1" applyAlignment="1">
      <alignment horizontal="center" vertical="center" wrapText="1"/>
    </xf>
    <xf numFmtId="166" fontId="25" fillId="0" borderId="309" xfId="1" applyFont="1" applyBorder="1" applyAlignment="1">
      <alignment horizontal="center" vertical="center"/>
    </xf>
    <xf numFmtId="166" fontId="25" fillId="0" borderId="310" xfId="1" applyFont="1" applyBorder="1" applyAlignment="1">
      <alignment horizontal="left" vertical="center" wrapText="1"/>
    </xf>
    <xf numFmtId="0" fontId="3" fillId="0" borderId="307" xfId="0" applyFont="1" applyBorder="1" applyAlignment="1">
      <alignment horizontal="center" vertical="center" wrapText="1"/>
    </xf>
    <xf numFmtId="166" fontId="34" fillId="0" borderId="311" xfId="0" applyNumberFormat="1" applyFont="1" applyBorder="1" applyAlignment="1">
      <alignment vertical="center"/>
    </xf>
    <xf numFmtId="166" fontId="34" fillId="0" borderId="254" xfId="0" applyNumberFormat="1" applyFont="1" applyBorder="1" applyAlignment="1">
      <alignment horizontal="center" vertical="center"/>
    </xf>
    <xf numFmtId="166" fontId="3" fillId="0" borderId="312" xfId="1" applyFont="1" applyBorder="1" applyAlignment="1">
      <alignment horizontal="center" vertical="center" wrapText="1"/>
    </xf>
    <xf numFmtId="166" fontId="3" fillId="0" borderId="313" xfId="1" applyFont="1" applyBorder="1" applyAlignment="1">
      <alignment horizontal="center" vertical="center" wrapText="1"/>
    </xf>
    <xf numFmtId="166" fontId="25" fillId="0" borderId="314" xfId="1" applyFont="1" applyBorder="1" applyAlignment="1">
      <alignment horizontal="center" vertical="center"/>
    </xf>
    <xf numFmtId="166" fontId="25" fillId="0" borderId="315" xfId="1" applyFont="1" applyBorder="1" applyAlignment="1">
      <alignment horizontal="left" vertical="center" wrapText="1"/>
    </xf>
    <xf numFmtId="0" fontId="3" fillId="0" borderId="312" xfId="0" applyFont="1" applyBorder="1" applyAlignment="1">
      <alignment horizontal="center" vertical="center" wrapText="1"/>
    </xf>
    <xf numFmtId="166" fontId="34" fillId="0" borderId="316" xfId="0" applyNumberFormat="1" applyFont="1" applyBorder="1" applyAlignment="1">
      <alignment vertical="center"/>
    </xf>
    <xf numFmtId="166" fontId="3" fillId="0" borderId="317" xfId="1" applyFont="1" applyBorder="1" applyAlignment="1">
      <alignment horizontal="center" vertical="center" wrapText="1"/>
    </xf>
    <xf numFmtId="166" fontId="3" fillId="0" borderId="318" xfId="1" applyFont="1" applyBorder="1" applyAlignment="1">
      <alignment horizontal="center" vertical="center" wrapText="1"/>
    </xf>
    <xf numFmtId="166" fontId="25" fillId="0" borderId="319" xfId="1" applyFont="1" applyBorder="1" applyAlignment="1">
      <alignment horizontal="center" vertical="center"/>
    </xf>
    <xf numFmtId="166" fontId="25" fillId="0" borderId="320" xfId="1" applyFont="1" applyBorder="1" applyAlignment="1">
      <alignment horizontal="left" vertical="center" wrapText="1"/>
    </xf>
    <xf numFmtId="0" fontId="3" fillId="0" borderId="317" xfId="0" applyFont="1" applyBorder="1" applyAlignment="1">
      <alignment horizontal="center" vertical="center" wrapText="1"/>
    </xf>
    <xf numFmtId="166" fontId="34" fillId="0" borderId="321" xfId="0" applyNumberFormat="1" applyFont="1" applyBorder="1" applyAlignment="1">
      <alignment vertical="center"/>
    </xf>
    <xf numFmtId="166" fontId="3" fillId="0" borderId="322" xfId="1" applyFont="1" applyBorder="1" applyAlignment="1">
      <alignment horizontal="center" vertical="center" wrapText="1"/>
    </xf>
    <xf numFmtId="166" fontId="3" fillId="0" borderId="323" xfId="1" applyFont="1" applyBorder="1" applyAlignment="1">
      <alignment horizontal="center" vertical="center" wrapText="1"/>
    </xf>
    <xf numFmtId="166" fontId="25" fillId="0" borderId="324" xfId="1" applyFont="1" applyBorder="1" applyAlignment="1">
      <alignment horizontal="center" vertical="center"/>
    </xf>
    <xf numFmtId="166" fontId="25" fillId="0" borderId="325" xfId="1" applyFont="1" applyBorder="1" applyAlignment="1">
      <alignment horizontal="left" vertical="center" wrapText="1"/>
    </xf>
    <xf numFmtId="0" fontId="3" fillId="0" borderId="322" xfId="0" applyFont="1" applyBorder="1" applyAlignment="1">
      <alignment horizontal="center" vertical="center" wrapText="1"/>
    </xf>
    <xf numFmtId="166" fontId="34" fillId="0" borderId="326" xfId="0" applyNumberFormat="1" applyFont="1" applyBorder="1" applyAlignment="1">
      <alignment vertical="center"/>
    </xf>
    <xf numFmtId="166" fontId="3" fillId="0" borderId="327" xfId="1" applyFont="1" applyBorder="1" applyAlignment="1">
      <alignment horizontal="center" vertical="center" wrapText="1"/>
    </xf>
    <xf numFmtId="166" fontId="3" fillId="0" borderId="328" xfId="1" applyFont="1" applyBorder="1" applyAlignment="1">
      <alignment horizontal="center" vertical="center" wrapText="1"/>
    </xf>
    <xf numFmtId="166" fontId="25" fillId="0" borderId="329" xfId="1" applyFont="1" applyBorder="1" applyAlignment="1">
      <alignment horizontal="center" vertical="center"/>
    </xf>
    <xf numFmtId="0" fontId="4" fillId="13" borderId="327" xfId="0" applyFont="1" applyFill="1" applyBorder="1" applyAlignment="1">
      <alignment horizontal="center" vertical="center" wrapText="1"/>
    </xf>
    <xf numFmtId="183" fontId="24" fillId="13" borderId="331" xfId="0" applyNumberFormat="1" applyFont="1" applyFill="1" applyBorder="1" applyAlignment="1">
      <alignment vertical="center"/>
    </xf>
    <xf numFmtId="167" fontId="4" fillId="4" borderId="327" xfId="0" applyNumberFormat="1" applyFont="1" applyFill="1" applyBorder="1" applyAlignment="1">
      <alignment horizontal="left" vertical="center"/>
    </xf>
    <xf numFmtId="166" fontId="4" fillId="4" borderId="331" xfId="1" applyFont="1" applyFill="1" applyBorder="1" applyAlignment="1">
      <alignment vertical="center"/>
    </xf>
    <xf numFmtId="0" fontId="16" fillId="4" borderId="133" xfId="0" applyFont="1" applyFill="1" applyBorder="1"/>
    <xf numFmtId="44" fontId="4" fillId="4" borderId="130" xfId="1" applyNumberFormat="1" applyFont="1" applyFill="1" applyBorder="1" applyAlignment="1">
      <alignment vertical="center"/>
    </xf>
    <xf numFmtId="167" fontId="4" fillId="7" borderId="327" xfId="0" applyNumberFormat="1" applyFont="1" applyFill="1" applyBorder="1" applyAlignment="1">
      <alignment horizontal="left" vertical="center"/>
    </xf>
    <xf numFmtId="0" fontId="16" fillId="4" borderId="327" xfId="0" applyFont="1" applyFill="1" applyBorder="1"/>
    <xf numFmtId="0" fontId="24" fillId="9" borderId="327" xfId="0" applyFont="1" applyFill="1" applyBorder="1" applyAlignment="1">
      <alignment horizontal="center" vertical="center" wrapText="1"/>
    </xf>
    <xf numFmtId="0" fontId="16" fillId="7" borderId="326" xfId="0" applyFont="1" applyFill="1" applyBorder="1" applyAlignment="1" applyProtection="1">
      <alignment horizontal="center" vertical="center"/>
    </xf>
    <xf numFmtId="187" fontId="0" fillId="0" borderId="0" xfId="1" applyNumberFormat="1" applyFont="1" applyAlignment="1">
      <alignment vertical="center"/>
    </xf>
    <xf numFmtId="187" fontId="45" fillId="0" borderId="0" xfId="1" applyNumberFormat="1" applyFont="1" applyAlignment="1">
      <alignment vertical="center"/>
    </xf>
    <xf numFmtId="187" fontId="47" fillId="0" borderId="0" xfId="1" applyNumberFormat="1" applyFont="1" applyAlignment="1">
      <alignment vertical="center"/>
    </xf>
    <xf numFmtId="187" fontId="6" fillId="0" borderId="0" xfId="1" applyNumberFormat="1" applyFont="1" applyAlignment="1">
      <alignment vertical="center"/>
    </xf>
    <xf numFmtId="0" fontId="46" fillId="2" borderId="332" xfId="0" applyFont="1" applyFill="1" applyBorder="1" applyAlignment="1">
      <alignment horizontal="center" vertical="center" wrapText="1"/>
    </xf>
    <xf numFmtId="0" fontId="24" fillId="9" borderId="333" xfId="0" applyFont="1" applyFill="1" applyBorder="1" applyAlignment="1">
      <alignment horizontal="center" vertical="center"/>
    </xf>
    <xf numFmtId="0" fontId="25" fillId="11" borderId="334" xfId="0" applyFont="1" applyFill="1" applyBorder="1"/>
    <xf numFmtId="166" fontId="25" fillId="10" borderId="335" xfId="1" applyFont="1" applyFill="1" applyBorder="1" applyAlignment="1" applyProtection="1">
      <alignment horizontal="center"/>
    </xf>
    <xf numFmtId="166" fontId="25" fillId="10" borderId="336" xfId="1" applyFont="1" applyFill="1" applyBorder="1" applyAlignment="1" applyProtection="1">
      <alignment horizontal="center"/>
    </xf>
    <xf numFmtId="0" fontId="25" fillId="11" borderId="337" xfId="0" applyFont="1" applyFill="1" applyBorder="1"/>
    <xf numFmtId="166" fontId="25" fillId="10" borderId="338" xfId="1" applyFont="1" applyFill="1" applyBorder="1" applyAlignment="1" applyProtection="1"/>
    <xf numFmtId="166" fontId="25" fillId="10" borderId="339" xfId="1" applyFont="1" applyFill="1" applyBorder="1" applyAlignment="1" applyProtection="1"/>
    <xf numFmtId="0" fontId="25" fillId="11" borderId="340" xfId="0" applyFont="1" applyFill="1" applyBorder="1"/>
    <xf numFmtId="166" fontId="25" fillId="10" borderId="341" xfId="1" applyFont="1" applyFill="1" applyBorder="1" applyAlignment="1" applyProtection="1"/>
    <xf numFmtId="166" fontId="25" fillId="10" borderId="342" xfId="1" applyFont="1" applyFill="1" applyBorder="1" applyAlignment="1" applyProtection="1"/>
    <xf numFmtId="0" fontId="16" fillId="0" borderId="327" xfId="0" applyFont="1" applyBorder="1"/>
    <xf numFmtId="0" fontId="16" fillId="2" borderId="343" xfId="0" applyFont="1" applyFill="1" applyBorder="1" applyAlignment="1">
      <alignment horizontal="center" vertical="center"/>
    </xf>
    <xf numFmtId="0" fontId="16" fillId="2" borderId="344" xfId="0" applyFont="1" applyFill="1" applyBorder="1" applyAlignment="1">
      <alignment horizontal="center" vertical="center"/>
    </xf>
    <xf numFmtId="166" fontId="3" fillId="0" borderId="0" xfId="1" applyFont="1" applyAlignment="1">
      <alignment horizontal="center" vertical="center"/>
    </xf>
    <xf numFmtId="166" fontId="3" fillId="10" borderId="49" xfId="1" applyFont="1" applyFill="1" applyBorder="1" applyAlignment="1" applyProtection="1">
      <alignment horizontal="center"/>
    </xf>
    <xf numFmtId="0" fontId="3" fillId="10" borderId="49" xfId="1" applyNumberFormat="1" applyFont="1" applyFill="1" applyBorder="1" applyAlignment="1" applyProtection="1">
      <alignment horizontal="center"/>
    </xf>
    <xf numFmtId="166" fontId="3" fillId="7" borderId="49" xfId="1" applyFont="1" applyFill="1" applyBorder="1" applyAlignment="1" applyProtection="1">
      <alignment horizontal="center"/>
    </xf>
    <xf numFmtId="166" fontId="16" fillId="7" borderId="41" xfId="1" applyFont="1" applyFill="1" applyBorder="1" applyAlignment="1" applyProtection="1">
      <alignment horizontal="center" vertical="center"/>
      <protection locked="0"/>
    </xf>
    <xf numFmtId="44" fontId="16" fillId="0" borderId="0" xfId="0" applyNumberFormat="1" applyFont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6" fontId="15" fillId="0" borderId="0" xfId="1" applyFont="1" applyBorder="1" applyAlignment="1">
      <alignment vertical="center"/>
    </xf>
    <xf numFmtId="166" fontId="16" fillId="0" borderId="0" xfId="1" applyFont="1" applyBorder="1" applyAlignment="1">
      <alignment vertical="center"/>
    </xf>
    <xf numFmtId="166" fontId="16" fillId="0" borderId="0" xfId="1" applyFont="1"/>
    <xf numFmtId="182" fontId="16" fillId="0" borderId="34" xfId="0" applyNumberFormat="1" applyFont="1" applyFill="1" applyBorder="1"/>
    <xf numFmtId="166" fontId="16" fillId="2" borderId="30" xfId="1" applyFont="1" applyFill="1" applyBorder="1"/>
    <xf numFmtId="4" fontId="39" fillId="4" borderId="343" xfId="0" applyNumberFormat="1" applyFont="1" applyFill="1" applyBorder="1" applyAlignment="1">
      <alignment vertical="center" wrapText="1"/>
    </xf>
    <xf numFmtId="0" fontId="25" fillId="11" borderId="353" xfId="0" applyFont="1" applyFill="1" applyBorder="1"/>
    <xf numFmtId="10" fontId="25" fillId="7" borderId="354" xfId="2" applyNumberFormat="1" applyFont="1" applyFill="1" applyBorder="1" applyAlignment="1" applyProtection="1">
      <alignment horizontal="right"/>
    </xf>
    <xf numFmtId="10" fontId="25" fillId="7" borderId="355" xfId="2" applyNumberFormat="1" applyFont="1" applyFill="1" applyBorder="1" applyAlignment="1" applyProtection="1">
      <alignment horizontal="right"/>
    </xf>
    <xf numFmtId="0" fontId="25" fillId="11" borderId="33" xfId="0" applyFont="1" applyFill="1" applyBorder="1"/>
    <xf numFmtId="166" fontId="25" fillId="7" borderId="133" xfId="1" applyFont="1" applyFill="1" applyBorder="1" applyAlignment="1" applyProtection="1">
      <alignment horizontal="right"/>
    </xf>
    <xf numFmtId="166" fontId="25" fillId="7" borderId="35" xfId="1" applyFont="1" applyFill="1" applyBorder="1" applyAlignment="1" applyProtection="1">
      <alignment horizontal="right"/>
    </xf>
    <xf numFmtId="0" fontId="3" fillId="7" borderId="353" xfId="4" applyFont="1" applyFill="1" applyBorder="1" applyAlignment="1">
      <alignment horizontal="left" vertical="center" wrapText="1"/>
    </xf>
    <xf numFmtId="0" fontId="16" fillId="7" borderId="354" xfId="0" applyFont="1" applyFill="1" applyBorder="1" applyAlignment="1">
      <alignment horizontal="center" vertical="center"/>
    </xf>
    <xf numFmtId="0" fontId="3" fillId="7" borderId="157" xfId="4" applyFont="1" applyFill="1" applyBorder="1" applyAlignment="1">
      <alignment horizontal="left" vertical="center" wrapText="1"/>
    </xf>
    <xf numFmtId="0" fontId="3" fillId="7" borderId="106" xfId="4" applyFont="1" applyFill="1" applyBorder="1" applyAlignment="1">
      <alignment horizontal="left" vertical="center" wrapText="1"/>
    </xf>
    <xf numFmtId="0" fontId="16" fillId="7" borderId="327" xfId="0" applyFont="1" applyFill="1" applyBorder="1" applyAlignment="1">
      <alignment horizontal="center" vertical="center"/>
    </xf>
    <xf numFmtId="0" fontId="16" fillId="7" borderId="327" xfId="0" applyFont="1" applyFill="1" applyBorder="1" applyAlignment="1">
      <alignment horizontal="center" vertical="center" wrapText="1"/>
    </xf>
    <xf numFmtId="166" fontId="3" fillId="2" borderId="112" xfId="1" applyFont="1" applyFill="1" applyBorder="1" applyAlignment="1">
      <alignment horizontal="left" vertical="center" wrapText="1"/>
    </xf>
    <xf numFmtId="166" fontId="16" fillId="0" borderId="113" xfId="1" applyFont="1" applyBorder="1" applyAlignment="1">
      <alignment horizontal="center" vertical="center"/>
    </xf>
    <xf numFmtId="0" fontId="3" fillId="7" borderId="353" xfId="4" applyFont="1" applyFill="1" applyBorder="1" applyAlignment="1" applyProtection="1">
      <alignment horizontal="left" vertical="center" wrapText="1"/>
      <protection locked="0"/>
    </xf>
    <xf numFmtId="10" fontId="25" fillId="7" borderId="354" xfId="6" applyNumberFormat="1" applyFont="1" applyFill="1" applyBorder="1" applyAlignment="1">
      <alignment horizontal="center" vertical="center"/>
    </xf>
    <xf numFmtId="0" fontId="0" fillId="7" borderId="354" xfId="0" applyFill="1" applyBorder="1" applyAlignment="1">
      <alignment horizontal="center"/>
    </xf>
    <xf numFmtId="2" fontId="3" fillId="7" borderId="354" xfId="5" applyNumberFormat="1" applyFont="1" applyFill="1" applyBorder="1" applyAlignment="1" applyProtection="1">
      <alignment horizontal="center" vertical="center"/>
      <protection locked="0"/>
    </xf>
    <xf numFmtId="10" fontId="25" fillId="7" borderId="327" xfId="6" applyNumberFormat="1" applyFont="1" applyFill="1" applyBorder="1" applyAlignment="1">
      <alignment horizontal="center" vertical="center"/>
    </xf>
    <xf numFmtId="0" fontId="0" fillId="7" borderId="327" xfId="0" applyFill="1" applyBorder="1" applyAlignment="1">
      <alignment horizontal="center"/>
    </xf>
    <xf numFmtId="2" fontId="3" fillId="7" borderId="327" xfId="5" applyNumberFormat="1" applyFont="1" applyFill="1" applyBorder="1" applyAlignment="1" applyProtection="1">
      <alignment horizontal="center" vertical="center"/>
      <protection locked="0"/>
    </xf>
    <xf numFmtId="0" fontId="15" fillId="2" borderId="77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 wrapText="1"/>
    </xf>
    <xf numFmtId="0" fontId="15" fillId="2" borderId="78" xfId="0" applyFont="1" applyFill="1" applyBorder="1" applyAlignment="1">
      <alignment horizontal="center" vertical="center"/>
    </xf>
    <xf numFmtId="1" fontId="3" fillId="7" borderId="327" xfId="5" applyNumberFormat="1" applyFont="1" applyFill="1" applyBorder="1" applyAlignment="1" applyProtection="1">
      <alignment horizontal="center" vertical="center"/>
      <protection locked="0"/>
    </xf>
    <xf numFmtId="0" fontId="3" fillId="7" borderId="33" xfId="4" applyFont="1" applyFill="1" applyBorder="1" applyAlignment="1" applyProtection="1">
      <alignment horizontal="left" vertical="center" wrapText="1"/>
      <protection locked="0"/>
    </xf>
    <xf numFmtId="0" fontId="3" fillId="2" borderId="353" xfId="4" applyFont="1" applyFill="1" applyBorder="1" applyAlignment="1">
      <alignment horizontal="left" vertical="center" wrapText="1"/>
    </xf>
    <xf numFmtId="0" fontId="3" fillId="0" borderId="354" xfId="4" applyFont="1" applyBorder="1" applyAlignment="1">
      <alignment horizontal="center" vertical="center"/>
    </xf>
    <xf numFmtId="168" fontId="3" fillId="0" borderId="354" xfId="4" applyNumberFormat="1" applyFont="1" applyBorder="1" applyAlignment="1">
      <alignment horizontal="center" vertical="center"/>
    </xf>
    <xf numFmtId="0" fontId="3" fillId="2" borderId="77" xfId="4" applyFont="1" applyFill="1" applyBorder="1" applyAlignment="1">
      <alignment horizontal="left" vertical="center"/>
    </xf>
    <xf numFmtId="0" fontId="3" fillId="0" borderId="84" xfId="4" applyFont="1" applyBorder="1" applyAlignment="1">
      <alignment horizontal="center" vertical="center"/>
    </xf>
    <xf numFmtId="168" fontId="3" fillId="0" borderId="84" xfId="4" applyNumberFormat="1" applyFont="1" applyBorder="1" applyAlignment="1">
      <alignment horizontal="center" vertical="center"/>
    </xf>
    <xf numFmtId="0" fontId="3" fillId="2" borderId="106" xfId="4" applyFont="1" applyFill="1" applyBorder="1" applyAlignment="1">
      <alignment horizontal="left" vertical="center" wrapText="1"/>
    </xf>
    <xf numFmtId="166" fontId="3" fillId="2" borderId="106" xfId="1" applyFont="1" applyFill="1" applyBorder="1" applyAlignment="1">
      <alignment horizontal="left" vertical="center" wrapText="1"/>
    </xf>
    <xf numFmtId="168" fontId="4" fillId="4" borderId="137" xfId="4" applyNumberFormat="1" applyFont="1" applyFill="1" applyBorder="1" applyAlignment="1">
      <alignment horizontal="center" vertical="center"/>
    </xf>
    <xf numFmtId="168" fontId="4" fillId="4" borderId="128" xfId="4" applyNumberFormat="1" applyFont="1" applyFill="1" applyBorder="1" applyAlignment="1">
      <alignment horizontal="center" vertical="center"/>
    </xf>
    <xf numFmtId="10" fontId="4" fillId="7" borderId="153" xfId="2" applyNumberFormat="1" applyFont="1" applyFill="1" applyBorder="1" applyAlignment="1">
      <alignment vertical="center"/>
    </xf>
    <xf numFmtId="164" fontId="4" fillId="4" borderId="128" xfId="1" applyNumberFormat="1" applyFont="1" applyFill="1" applyBorder="1" applyAlignment="1">
      <alignment horizontal="center" vertical="center"/>
    </xf>
    <xf numFmtId="166" fontId="4" fillId="4" borderId="162" xfId="1" applyFont="1" applyFill="1" applyBorder="1" applyAlignment="1">
      <alignment vertical="center"/>
    </xf>
    <xf numFmtId="186" fontId="3" fillId="0" borderId="354" xfId="1" applyNumberFormat="1" applyFont="1" applyBorder="1" applyAlignment="1">
      <alignment horizontal="center" vertical="center"/>
    </xf>
    <xf numFmtId="186" fontId="3" fillId="0" borderId="84" xfId="1" applyNumberFormat="1" applyFont="1" applyBorder="1" applyAlignment="1">
      <alignment horizontal="center" vertical="center"/>
    </xf>
    <xf numFmtId="0" fontId="3" fillId="2" borderId="127" xfId="4" applyFont="1" applyFill="1" applyBorder="1" applyAlignment="1">
      <alignment horizontal="left" vertical="center"/>
    </xf>
    <xf numFmtId="0" fontId="3" fillId="0" borderId="137" xfId="4" applyFont="1" applyBorder="1" applyAlignment="1">
      <alignment horizontal="center" vertical="center"/>
    </xf>
    <xf numFmtId="186" fontId="3" fillId="0" borderId="137" xfId="1" applyNumberFormat="1" applyFont="1" applyBorder="1" applyAlignment="1">
      <alignment horizontal="center" vertical="center"/>
    </xf>
    <xf numFmtId="168" fontId="3" fillId="0" borderId="137" xfId="4" applyNumberFormat="1" applyFont="1" applyBorder="1" applyAlignment="1">
      <alignment horizontal="center" vertical="center"/>
    </xf>
    <xf numFmtId="0" fontId="3" fillId="0" borderId="358" xfId="4" applyFont="1" applyBorder="1" applyAlignment="1">
      <alignment horizontal="center" vertical="center"/>
    </xf>
    <xf numFmtId="186" fontId="3" fillId="0" borderId="358" xfId="1" applyNumberFormat="1" applyFont="1" applyBorder="1" applyAlignment="1">
      <alignment horizontal="center" vertical="center"/>
    </xf>
    <xf numFmtId="168" fontId="3" fillId="0" borderId="358" xfId="4" applyNumberFormat="1" applyFont="1" applyBorder="1" applyAlignment="1">
      <alignment horizontal="center" vertical="center"/>
    </xf>
    <xf numFmtId="168" fontId="3" fillId="0" borderId="359" xfId="4" applyNumberFormat="1" applyFont="1" applyBorder="1" applyAlignment="1">
      <alignment horizontal="center" vertical="center"/>
    </xf>
    <xf numFmtId="166" fontId="3" fillId="0" borderId="358" xfId="1" applyFont="1" applyBorder="1" applyAlignment="1">
      <alignment horizontal="center" vertical="center"/>
    </xf>
    <xf numFmtId="186" fontId="16" fillId="0" borderId="0" xfId="1" applyNumberFormat="1" applyFont="1" applyAlignment="1">
      <alignment horizontal="center"/>
    </xf>
    <xf numFmtId="0" fontId="15" fillId="4" borderId="351" xfId="0" applyFont="1" applyFill="1" applyBorder="1" applyAlignment="1">
      <alignment horizontal="center" vertical="center"/>
    </xf>
    <xf numFmtId="0" fontId="15" fillId="4" borderId="349" xfId="0" applyFont="1" applyFill="1" applyBorder="1" applyAlignment="1">
      <alignment horizontal="center" vertical="center"/>
    </xf>
    <xf numFmtId="186" fontId="15" fillId="4" borderId="349" xfId="1" applyNumberFormat="1" applyFont="1" applyFill="1" applyBorder="1" applyAlignment="1">
      <alignment horizontal="center" vertical="center" wrapText="1"/>
    </xf>
    <xf numFmtId="0" fontId="15" fillId="4" borderId="349" xfId="0" applyFont="1" applyFill="1" applyBorder="1" applyAlignment="1">
      <alignment horizontal="center" vertical="center" wrapText="1"/>
    </xf>
    <xf numFmtId="0" fontId="15" fillId="4" borderId="347" xfId="0" applyFont="1" applyFill="1" applyBorder="1" applyAlignment="1">
      <alignment horizontal="center" vertical="center" wrapText="1"/>
    </xf>
    <xf numFmtId="166" fontId="3" fillId="2" borderId="33" xfId="1" applyFont="1" applyFill="1" applyBorder="1" applyAlignment="1">
      <alignment horizontal="left" vertical="center" wrapText="1"/>
    </xf>
    <xf numFmtId="166" fontId="3" fillId="0" borderId="133" xfId="1" applyFont="1" applyBorder="1" applyAlignment="1">
      <alignment horizontal="center" vertical="center"/>
    </xf>
    <xf numFmtId="186" fontId="3" fillId="0" borderId="133" xfId="1" applyNumberFormat="1" applyFont="1" applyBorder="1" applyAlignment="1">
      <alignment horizontal="center" vertical="center"/>
    </xf>
    <xf numFmtId="168" fontId="3" fillId="0" borderId="133" xfId="4" applyNumberFormat="1" applyFont="1" applyBorder="1" applyAlignment="1">
      <alignment horizontal="center" vertical="center"/>
    </xf>
    <xf numFmtId="44" fontId="16" fillId="7" borderId="152" xfId="0" applyNumberFormat="1" applyFont="1" applyFill="1" applyBorder="1" applyAlignment="1" applyProtection="1">
      <alignment horizontal="center" vertical="center"/>
      <protection locked="0"/>
    </xf>
    <xf numFmtId="168" fontId="3" fillId="7" borderId="132" xfId="4" applyNumberFormat="1" applyFont="1" applyFill="1" applyBorder="1" applyAlignment="1" applyProtection="1">
      <alignment horizontal="center" vertical="center"/>
      <protection locked="0"/>
    </xf>
    <xf numFmtId="168" fontId="3" fillId="7" borderId="355" xfId="4" applyNumberFormat="1" applyFont="1" applyFill="1" applyBorder="1" applyAlignment="1" applyProtection="1">
      <alignment horizontal="center" vertical="center"/>
      <protection locked="0"/>
    </xf>
    <xf numFmtId="168" fontId="3" fillId="7" borderId="35" xfId="4" applyNumberFormat="1" applyFont="1" applyFill="1" applyBorder="1" applyAlignment="1" applyProtection="1">
      <alignment horizontal="center" vertical="center"/>
      <protection locked="0"/>
    </xf>
    <xf numFmtId="168" fontId="3" fillId="7" borderId="327" xfId="4" applyNumberFormat="1" applyFont="1" applyFill="1" applyBorder="1" applyAlignment="1" applyProtection="1">
      <alignment horizontal="center" vertical="center"/>
      <protection locked="0"/>
    </xf>
    <xf numFmtId="168" fontId="3" fillId="7" borderId="24" xfId="4" applyNumberFormat="1" applyFont="1" applyFill="1" applyBorder="1" applyAlignment="1" applyProtection="1">
      <alignment horizontal="center" vertical="center"/>
      <protection locked="0"/>
    </xf>
    <xf numFmtId="168" fontId="3" fillId="7" borderId="354" xfId="4" applyNumberFormat="1" applyFont="1" applyFill="1" applyBorder="1" applyAlignment="1" applyProtection="1">
      <alignment horizontal="center" vertical="center"/>
      <protection locked="0"/>
    </xf>
    <xf numFmtId="168" fontId="3" fillId="7" borderId="133" xfId="4" applyNumberFormat="1" applyFont="1" applyFill="1" applyBorder="1" applyAlignment="1" applyProtection="1">
      <alignment horizontal="center" vertical="center"/>
      <protection locked="0"/>
    </xf>
    <xf numFmtId="44" fontId="3" fillId="7" borderId="327" xfId="4" applyNumberFormat="1" applyFont="1" applyFill="1" applyBorder="1" applyAlignment="1" applyProtection="1">
      <alignment horizontal="center" vertical="center"/>
      <protection locked="0"/>
    </xf>
    <xf numFmtId="177" fontId="3" fillId="7" borderId="327" xfId="4" applyNumberFormat="1" applyFont="1" applyFill="1" applyBorder="1" applyAlignment="1" applyProtection="1">
      <alignment horizontal="center" vertical="center"/>
      <protection locked="0"/>
    </xf>
    <xf numFmtId="166" fontId="3" fillId="7" borderId="63" xfId="1" applyFont="1" applyFill="1" applyBorder="1" applyAlignment="1" applyProtection="1">
      <alignment horizontal="center" vertical="center"/>
      <protection locked="0"/>
    </xf>
    <xf numFmtId="166" fontId="3" fillId="7" borderId="355" xfId="1" applyFont="1" applyFill="1" applyBorder="1" applyAlignment="1" applyProtection="1">
      <alignment horizontal="center" vertical="center"/>
      <protection locked="0"/>
    </xf>
    <xf numFmtId="166" fontId="3" fillId="7" borderId="35" xfId="1" applyFont="1" applyFill="1" applyBorder="1" applyAlignment="1" applyProtection="1">
      <alignment horizontal="center" vertical="center"/>
      <protection locked="0"/>
    </xf>
    <xf numFmtId="166" fontId="3" fillId="7" borderId="132" xfId="1" applyFont="1" applyFill="1" applyBorder="1" applyAlignment="1" applyProtection="1">
      <alignment horizontal="center" vertical="center"/>
      <protection locked="0"/>
    </xf>
    <xf numFmtId="166" fontId="16" fillId="7" borderId="31" xfId="1" applyFont="1" applyFill="1" applyBorder="1" applyAlignment="1" applyProtection="1">
      <alignment horizontal="center" vertical="center"/>
      <protection locked="0"/>
    </xf>
    <xf numFmtId="166" fontId="16" fillId="7" borderId="9" xfId="1" applyFont="1" applyFill="1" applyBorder="1"/>
    <xf numFmtId="166" fontId="3" fillId="0" borderId="84" xfId="1" applyNumberFormat="1" applyFont="1" applyBorder="1" applyAlignment="1">
      <alignment horizontal="center" vertical="center"/>
    </xf>
    <xf numFmtId="166" fontId="3" fillId="0" borderId="358" xfId="1" applyNumberFormat="1" applyFont="1" applyBorder="1" applyAlignment="1">
      <alignment horizontal="center" vertical="center"/>
    </xf>
    <xf numFmtId="166" fontId="3" fillId="0" borderId="137" xfId="1" applyNumberFormat="1" applyFont="1" applyBorder="1" applyAlignment="1">
      <alignment horizontal="center" vertical="center"/>
    </xf>
    <xf numFmtId="166" fontId="3" fillId="0" borderId="354" xfId="1" applyNumberFormat="1" applyFont="1" applyBorder="1" applyAlignment="1">
      <alignment horizontal="center" vertical="center"/>
    </xf>
    <xf numFmtId="166" fontId="3" fillId="0" borderId="133" xfId="1" applyNumberFormat="1" applyFont="1" applyBorder="1" applyAlignment="1">
      <alignment horizontal="center" vertical="center"/>
    </xf>
    <xf numFmtId="4" fontId="4" fillId="2" borderId="19" xfId="8" applyNumberFormat="1" applyFont="1" applyFill="1" applyBorder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167" fontId="4" fillId="7" borderId="248" xfId="0" applyNumberFormat="1" applyFont="1" applyFill="1" applyBorder="1" applyAlignment="1">
      <alignment horizontal="left" vertical="center"/>
    </xf>
    <xf numFmtId="0" fontId="11" fillId="0" borderId="109" xfId="7" applyBorder="1" applyAlignment="1">
      <alignment horizontal="left" vertical="center"/>
    </xf>
    <xf numFmtId="0" fontId="11" fillId="7" borderId="48" xfId="7" applyFill="1" applyBorder="1" applyAlignment="1">
      <alignment horizontal="center" vertical="center" wrapText="1"/>
    </xf>
    <xf numFmtId="0" fontId="11" fillId="2" borderId="29" xfId="7" applyFill="1" applyBorder="1" applyAlignment="1">
      <alignment horizontal="right"/>
    </xf>
    <xf numFmtId="166" fontId="3" fillId="7" borderId="146" xfId="1" applyFont="1" applyFill="1" applyBorder="1" applyAlignment="1" applyProtection="1">
      <alignment horizontal="center"/>
    </xf>
    <xf numFmtId="166" fontId="3" fillId="7" borderId="147" xfId="1" applyFont="1" applyFill="1" applyBorder="1" applyAlignment="1" applyProtection="1">
      <alignment horizontal="center"/>
    </xf>
    <xf numFmtId="0" fontId="49" fillId="7" borderId="100" xfId="7" applyFont="1" applyFill="1" applyBorder="1" applyAlignment="1">
      <alignment horizontal="center" vertical="center"/>
    </xf>
    <xf numFmtId="0" fontId="15" fillId="7" borderId="137" xfId="0" applyFont="1" applyFill="1" applyBorder="1" applyAlignment="1">
      <alignment horizontal="center" vertical="center"/>
    </xf>
    <xf numFmtId="166" fontId="16" fillId="7" borderId="126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3" fillId="7" borderId="8" xfId="11" applyNumberFormat="1" applyFont="1" applyFill="1" applyBorder="1" applyAlignment="1" applyProtection="1">
      <alignment horizontal="center"/>
      <protection locked="0"/>
    </xf>
    <xf numFmtId="178" fontId="3" fillId="7" borderId="356" xfId="11" applyNumberFormat="1" applyFont="1" applyFill="1" applyBorder="1" applyAlignment="1" applyProtection="1">
      <alignment horizontal="center"/>
      <protection locked="0"/>
    </xf>
    <xf numFmtId="178" fontId="3" fillId="7" borderId="360" xfId="11" applyNumberFormat="1" applyFont="1" applyFill="1" applyBorder="1" applyAlignment="1" applyProtection="1">
      <alignment horizontal="center"/>
      <protection locked="0"/>
    </xf>
    <xf numFmtId="178" fontId="3" fillId="7" borderId="354" xfId="11" applyNumberFormat="1" applyFont="1" applyFill="1" applyBorder="1" applyAlignment="1" applyProtection="1">
      <alignment horizontal="center"/>
      <protection locked="0"/>
    </xf>
    <xf numFmtId="179" fontId="15" fillId="0" borderId="355" xfId="11" applyNumberFormat="1" applyFont="1" applyBorder="1" applyAlignment="1">
      <alignment horizontal="center" vertical="center" wrapText="1"/>
    </xf>
    <xf numFmtId="0" fontId="3" fillId="2" borderId="100" xfId="0" applyFont="1" applyFill="1" applyBorder="1"/>
    <xf numFmtId="0" fontId="3" fillId="2" borderId="111" xfId="0" applyFont="1" applyFill="1" applyBorder="1"/>
    <xf numFmtId="0" fontId="3" fillId="2" borderId="362" xfId="0" applyFont="1" applyFill="1" applyBorder="1"/>
    <xf numFmtId="0" fontId="15" fillId="2" borderId="111" xfId="0" applyFont="1" applyFill="1" applyBorder="1"/>
    <xf numFmtId="0" fontId="16" fillId="2" borderId="362" xfId="0" applyFont="1" applyFill="1" applyBorder="1"/>
    <xf numFmtId="0" fontId="15" fillId="4" borderId="61" xfId="0" applyFont="1" applyFill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 wrapText="1"/>
    </xf>
    <xf numFmtId="10" fontId="16" fillId="0" borderId="106" xfId="2" applyNumberFormat="1" applyFont="1" applyBorder="1" applyAlignment="1">
      <alignment horizontal="center" vertical="center" wrapText="1"/>
    </xf>
    <xf numFmtId="179" fontId="15" fillId="0" borderId="359" xfId="11" applyNumberFormat="1" applyFont="1" applyBorder="1" applyAlignment="1">
      <alignment horizontal="center" vertical="center" wrapText="1"/>
    </xf>
    <xf numFmtId="0" fontId="16" fillId="7" borderId="111" xfId="0" applyFont="1" applyFill="1" applyBorder="1" applyAlignment="1" applyProtection="1">
      <alignment horizontal="center" vertical="center" wrapText="1"/>
      <protection locked="0"/>
    </xf>
    <xf numFmtId="0" fontId="16" fillId="0" borderId="362" xfId="0" applyFont="1" applyBorder="1" applyAlignment="1">
      <alignment horizontal="center" vertical="center" wrapText="1"/>
    </xf>
    <xf numFmtId="10" fontId="16" fillId="0" borderId="353" xfId="2" applyNumberFormat="1" applyFont="1" applyBorder="1" applyAlignment="1">
      <alignment horizontal="center" vertical="center" wrapText="1"/>
    </xf>
    <xf numFmtId="43" fontId="15" fillId="2" borderId="106" xfId="0" applyNumberFormat="1" applyFont="1" applyFill="1" applyBorder="1"/>
    <xf numFmtId="0" fontId="15" fillId="2" borderId="358" xfId="0" applyFont="1" applyFill="1" applyBorder="1"/>
    <xf numFmtId="0" fontId="15" fillId="2" borderId="358" xfId="0" applyFont="1" applyFill="1" applyBorder="1" applyAlignment="1">
      <alignment horizontal="center"/>
    </xf>
    <xf numFmtId="179" fontId="15" fillId="2" borderId="359" xfId="0" applyNumberFormat="1" applyFont="1" applyFill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 wrapText="1"/>
    </xf>
    <xf numFmtId="10" fontId="16" fillId="0" borderId="129" xfId="2" applyNumberFormat="1" applyFont="1" applyBorder="1" applyAlignment="1">
      <alignment horizontal="center" vertical="center" wrapText="1"/>
    </xf>
    <xf numFmtId="179" fontId="15" fillId="0" borderId="130" xfId="11" applyNumberFormat="1" applyFont="1" applyBorder="1" applyAlignment="1">
      <alignment horizontal="center" vertical="center" wrapText="1"/>
    </xf>
    <xf numFmtId="10" fontId="3" fillId="7" borderId="354" xfId="2" applyNumberFormat="1" applyFont="1" applyFill="1" applyBorder="1" applyAlignment="1" applyProtection="1">
      <alignment horizontal="center"/>
      <protection locked="0"/>
    </xf>
    <xf numFmtId="10" fontId="3" fillId="7" borderId="133" xfId="2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4" fillId="5" borderId="1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24" fillId="9" borderId="167" xfId="0" applyFont="1" applyFill="1" applyBorder="1" applyAlignment="1">
      <alignment horizontal="center" vertical="center" wrapText="1"/>
    </xf>
    <xf numFmtId="10" fontId="3" fillId="7" borderId="359" xfId="2" applyNumberFormat="1" applyFont="1" applyFill="1" applyBorder="1" applyAlignment="1">
      <alignment vertical="top"/>
    </xf>
    <xf numFmtId="10" fontId="3" fillId="0" borderId="359" xfId="2" applyNumberFormat="1" applyFont="1" applyFill="1" applyBorder="1" applyAlignment="1">
      <alignment vertical="top"/>
    </xf>
    <xf numFmtId="10" fontId="3" fillId="7" borderId="130" xfId="2" applyNumberFormat="1" applyFont="1" applyFill="1" applyBorder="1" applyAlignment="1">
      <alignment vertical="top"/>
    </xf>
    <xf numFmtId="10" fontId="3" fillId="7" borderId="137" xfId="2" applyNumberFormat="1" applyFont="1" applyFill="1" applyBorder="1" applyAlignment="1">
      <alignment vertical="top"/>
    </xf>
    <xf numFmtId="189" fontId="3" fillId="7" borderId="358" xfId="1" applyNumberFormat="1" applyFont="1" applyFill="1" applyBorder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15" fillId="4" borderId="364" xfId="0" applyFont="1" applyFill="1" applyBorder="1" applyAlignment="1">
      <alignment horizontal="center" vertical="center" wrapText="1"/>
    </xf>
    <xf numFmtId="10" fontId="16" fillId="7" borderId="365" xfId="2" applyNumberFormat="1" applyFont="1" applyFill="1" applyBorder="1" applyAlignment="1" applyProtection="1">
      <alignment horizontal="center" vertical="center"/>
      <protection locked="0"/>
    </xf>
    <xf numFmtId="10" fontId="16" fillId="7" borderId="365" xfId="2" applyNumberFormat="1" applyFont="1" applyFill="1" applyBorder="1" applyAlignment="1">
      <alignment horizontal="center" vertical="center"/>
    </xf>
    <xf numFmtId="10" fontId="16" fillId="7" borderId="18" xfId="2" applyNumberFormat="1" applyFont="1" applyFill="1" applyBorder="1" applyAlignment="1">
      <alignment horizontal="center" vertical="center"/>
    </xf>
    <xf numFmtId="10" fontId="8" fillId="0" borderId="109" xfId="6" applyNumberFormat="1" applyFont="1" applyBorder="1" applyAlignment="1" applyProtection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" fillId="0" borderId="366" xfId="0" applyFont="1" applyBorder="1" applyAlignment="1">
      <alignment horizontal="center" vertical="center"/>
    </xf>
    <xf numFmtId="0" fontId="4" fillId="0" borderId="361" xfId="0" applyFont="1" applyBorder="1" applyAlignment="1">
      <alignment vertical="center"/>
    </xf>
    <xf numFmtId="0" fontId="3" fillId="0" borderId="361" xfId="0" applyFont="1" applyBorder="1" applyAlignment="1">
      <alignment vertical="center"/>
    </xf>
    <xf numFmtId="10" fontId="3" fillId="0" borderId="361" xfId="2" applyNumberFormat="1" applyFont="1" applyFill="1" applyBorder="1" applyAlignment="1" applyProtection="1">
      <alignment horizontal="center" vertical="center"/>
    </xf>
    <xf numFmtId="173" fontId="3" fillId="0" borderId="367" xfId="0" applyNumberFormat="1" applyFont="1" applyBorder="1" applyAlignment="1">
      <alignment horizontal="right" vertical="center"/>
    </xf>
    <xf numFmtId="0" fontId="24" fillId="0" borderId="366" xfId="0" applyFont="1" applyBorder="1" applyAlignment="1">
      <alignment horizontal="center" vertical="center"/>
    </xf>
    <xf numFmtId="0" fontId="24" fillId="0" borderId="361" xfId="0" applyFont="1" applyBorder="1" applyAlignment="1">
      <alignment vertical="center"/>
    </xf>
    <xf numFmtId="0" fontId="25" fillId="0" borderId="361" xfId="0" applyFont="1" applyBorder="1" applyAlignment="1">
      <alignment vertical="center"/>
    </xf>
    <xf numFmtId="173" fontId="25" fillId="0" borderId="367" xfId="0" applyNumberFormat="1" applyFont="1" applyBorder="1" applyAlignment="1">
      <alignment horizontal="right" vertical="center"/>
    </xf>
    <xf numFmtId="0" fontId="25" fillId="0" borderId="368" xfId="0" applyFont="1" applyBorder="1" applyAlignment="1">
      <alignment horizontal="center" vertical="center"/>
    </xf>
    <xf numFmtId="173" fontId="25" fillId="0" borderId="360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173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1" fillId="0" borderId="3" xfId="0" applyFont="1" applyBorder="1"/>
    <xf numFmtId="10" fontId="32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0" fillId="0" borderId="3" xfId="0" applyBorder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0" fontId="0" fillId="0" borderId="0" xfId="0" applyNumberFormat="1" applyBorder="1" applyAlignment="1">
      <alignment horizontal="center"/>
    </xf>
    <xf numFmtId="4" fontId="32" fillId="0" borderId="4" xfId="0" applyNumberFormat="1" applyFont="1" applyBorder="1" applyAlignment="1">
      <alignment vertical="center" wrapText="1"/>
    </xf>
    <xf numFmtId="0" fontId="0" fillId="0" borderId="153" xfId="0" applyBorder="1"/>
    <xf numFmtId="0" fontId="25" fillId="0" borderId="140" xfId="0" applyFont="1" applyBorder="1"/>
    <xf numFmtId="0" fontId="4" fillId="0" borderId="140" xfId="0" applyFont="1" applyBorder="1" applyAlignment="1">
      <alignment vertical="center" wrapText="1"/>
    </xf>
    <xf numFmtId="10" fontId="0" fillId="0" borderId="140" xfId="0" applyNumberFormat="1" applyBorder="1" applyAlignment="1">
      <alignment horizontal="center"/>
    </xf>
    <xf numFmtId="0" fontId="0" fillId="0" borderId="8" xfId="0" applyBorder="1"/>
    <xf numFmtId="10" fontId="4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73" fontId="24" fillId="0" borderId="4" xfId="0" applyNumberFormat="1" applyFont="1" applyBorder="1" applyAlignment="1">
      <alignment horizontal="right" vertical="center"/>
    </xf>
    <xf numFmtId="0" fontId="11" fillId="7" borderId="49" xfId="7" applyFill="1" applyBorder="1" applyAlignment="1">
      <alignment horizontal="center" vertical="center" wrapText="1"/>
    </xf>
    <xf numFmtId="0" fontId="25" fillId="11" borderId="369" xfId="0" applyFont="1" applyFill="1" applyBorder="1" applyAlignment="1">
      <alignment horizontal="left" vertical="center"/>
    </xf>
    <xf numFmtId="0" fontId="25" fillId="0" borderId="370" xfId="0" applyFont="1" applyBorder="1" applyAlignment="1">
      <alignment horizontal="center" vertical="center" wrapText="1"/>
    </xf>
    <xf numFmtId="0" fontId="25" fillId="0" borderId="371" xfId="0" applyFont="1" applyFill="1" applyBorder="1" applyAlignment="1">
      <alignment horizontal="center" vertical="center" wrapText="1"/>
    </xf>
    <xf numFmtId="0" fontId="25" fillId="7" borderId="370" xfId="0" applyFont="1" applyFill="1" applyBorder="1" applyAlignment="1">
      <alignment horizontal="center" vertical="center" wrapText="1"/>
    </xf>
    <xf numFmtId="0" fontId="25" fillId="7" borderId="371" xfId="0" applyFont="1" applyFill="1" applyBorder="1" applyAlignment="1">
      <alignment horizontal="center" vertical="center" wrapText="1"/>
    </xf>
    <xf numFmtId="0" fontId="3" fillId="11" borderId="369" xfId="0" applyFont="1" applyFill="1" applyBorder="1"/>
    <xf numFmtId="2" fontId="3" fillId="7" borderId="370" xfId="1" applyNumberFormat="1" applyFont="1" applyFill="1" applyBorder="1" applyAlignment="1" applyProtection="1">
      <alignment horizontal="center"/>
    </xf>
    <xf numFmtId="2" fontId="3" fillId="7" borderId="371" xfId="1" applyNumberFormat="1" applyFont="1" applyFill="1" applyBorder="1" applyAlignment="1" applyProtection="1">
      <alignment horizontal="center"/>
    </xf>
    <xf numFmtId="0" fontId="25" fillId="11" borderId="372" xfId="0" applyFont="1" applyFill="1" applyBorder="1"/>
    <xf numFmtId="0" fontId="25" fillId="7" borderId="373" xfId="0" applyFont="1" applyFill="1" applyBorder="1" applyAlignment="1">
      <alignment horizontal="center"/>
    </xf>
    <xf numFmtId="0" fontId="25" fillId="7" borderId="374" xfId="0" applyFont="1" applyFill="1" applyBorder="1" applyAlignment="1">
      <alignment horizontal="center"/>
    </xf>
    <xf numFmtId="0" fontId="5" fillId="2" borderId="358" xfId="4" applyFont="1" applyFill="1" applyBorder="1" applyAlignment="1">
      <alignment horizontal="center" vertical="center" wrapText="1"/>
    </xf>
    <xf numFmtId="165" fontId="6" fillId="0" borderId="358" xfId="3" applyFont="1" applyBorder="1" applyAlignment="1">
      <alignment horizontal="center" vertical="center"/>
    </xf>
    <xf numFmtId="1" fontId="5" fillId="2" borderId="356" xfId="5" applyNumberFormat="1" applyFont="1" applyFill="1" applyBorder="1" applyAlignment="1">
      <alignment horizontal="center" vertical="center"/>
    </xf>
    <xf numFmtId="168" fontId="2" fillId="0" borderId="0" xfId="0" applyNumberFormat="1" applyFont="1" applyBorder="1"/>
    <xf numFmtId="0" fontId="5" fillId="2" borderId="376" xfId="4" applyFont="1" applyFill="1" applyBorder="1" applyAlignment="1">
      <alignment vertical="center"/>
    </xf>
    <xf numFmtId="0" fontId="0" fillId="0" borderId="376" xfId="0" applyBorder="1"/>
    <xf numFmtId="164" fontId="39" fillId="4" borderId="345" xfId="0" applyNumberFormat="1" applyFont="1" applyFill="1" applyBorder="1" applyAlignment="1">
      <alignment horizontal="center" vertical="center"/>
    </xf>
    <xf numFmtId="164" fontId="39" fillId="4" borderId="85" xfId="1" applyNumberFormat="1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185" fontId="16" fillId="7" borderId="80" xfId="1" applyNumberFormat="1" applyFont="1" applyFill="1" applyBorder="1" applyAlignment="1" applyProtection="1">
      <alignment horizontal="center" vertical="center"/>
      <protection locked="0"/>
    </xf>
    <xf numFmtId="174" fontId="4" fillId="0" borderId="0" xfId="2" applyNumberFormat="1" applyFont="1" applyFill="1" applyBorder="1" applyAlignment="1" applyProtection="1">
      <alignment horizontal="center" vertical="center"/>
    </xf>
    <xf numFmtId="0" fontId="46" fillId="4" borderId="349" xfId="0" applyFont="1" applyFill="1" applyBorder="1" applyAlignment="1">
      <alignment horizontal="center" vertical="center" wrapText="1"/>
    </xf>
    <xf numFmtId="0" fontId="46" fillId="4" borderId="350" xfId="0" applyFont="1" applyFill="1" applyBorder="1" applyAlignment="1">
      <alignment horizontal="center" vertical="center" wrapText="1"/>
    </xf>
    <xf numFmtId="0" fontId="46" fillId="4" borderId="351" xfId="0" applyFont="1" applyFill="1" applyBorder="1" applyAlignment="1">
      <alignment horizontal="center" vertical="center" wrapText="1"/>
    </xf>
    <xf numFmtId="0" fontId="46" fillId="4" borderId="347" xfId="0" applyFont="1" applyFill="1" applyBorder="1" applyAlignment="1">
      <alignment horizontal="center" vertical="center" wrapText="1"/>
    </xf>
    <xf numFmtId="0" fontId="46" fillId="4" borderId="352" xfId="0" applyFont="1" applyFill="1" applyBorder="1" applyAlignment="1">
      <alignment horizontal="center" vertical="center" wrapText="1"/>
    </xf>
    <xf numFmtId="0" fontId="46" fillId="4" borderId="44" xfId="0" applyFont="1" applyFill="1" applyBorder="1" applyAlignment="1">
      <alignment horizontal="center" vertical="center" wrapText="1"/>
    </xf>
    <xf numFmtId="0" fontId="46" fillId="4" borderId="348" xfId="0" applyFont="1" applyFill="1" applyBorder="1" applyAlignment="1">
      <alignment horizontal="center" vertical="center" wrapText="1"/>
    </xf>
    <xf numFmtId="0" fontId="46" fillId="4" borderId="123" xfId="0" applyFont="1" applyFill="1" applyBorder="1" applyAlignment="1">
      <alignment horizontal="center" vertical="center" wrapText="1"/>
    </xf>
    <xf numFmtId="0" fontId="46" fillId="4" borderId="62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0" fontId="22" fillId="15" borderId="36" xfId="0" applyFont="1" applyFill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4" fontId="21" fillId="15" borderId="16" xfId="0" applyNumberFormat="1" applyFont="1" applyFill="1" applyBorder="1" applyAlignment="1">
      <alignment horizontal="center" vertical="center" wrapText="1"/>
    </xf>
    <xf numFmtId="4" fontId="21" fillId="15" borderId="153" xfId="0" applyNumberFormat="1" applyFont="1" applyFill="1" applyBorder="1" applyAlignment="1">
      <alignment horizontal="center" vertical="center" wrapText="1"/>
    </xf>
    <xf numFmtId="4" fontId="21" fillId="15" borderId="61" xfId="0" applyNumberFormat="1" applyFont="1" applyFill="1" applyBorder="1" applyAlignment="1">
      <alignment horizontal="center" vertical="center" wrapText="1"/>
    </xf>
    <xf numFmtId="4" fontId="12" fillId="15" borderId="61" xfId="0" applyNumberFormat="1" applyFont="1" applyFill="1" applyBorder="1" applyAlignment="1">
      <alignment horizontal="center" vertical="center" wrapText="1"/>
    </xf>
    <xf numFmtId="171" fontId="39" fillId="15" borderId="343" xfId="0" applyNumberFormat="1" applyFont="1" applyFill="1" applyBorder="1" applyAlignment="1">
      <alignment horizontal="center" vertical="center" wrapText="1"/>
    </xf>
    <xf numFmtId="164" fontId="39" fillId="15" borderId="345" xfId="0" applyNumberFormat="1" applyFont="1" applyFill="1" applyBorder="1" applyAlignment="1">
      <alignment horizontal="center" vertical="center"/>
    </xf>
    <xf numFmtId="164" fontId="39" fillId="15" borderId="344" xfId="1" applyNumberFormat="1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/>
    </xf>
    <xf numFmtId="0" fontId="2" fillId="2" borderId="123" xfId="0" applyFont="1" applyFill="1" applyBorder="1" applyAlignment="1">
      <alignment horizontal="center" vertical="center"/>
    </xf>
    <xf numFmtId="0" fontId="36" fillId="0" borderId="82" xfId="0" applyFont="1" applyBorder="1" applyAlignment="1" applyProtection="1">
      <alignment horizontal="center" vertical="center"/>
      <protection locked="0"/>
    </xf>
    <xf numFmtId="0" fontId="36" fillId="0" borderId="83" xfId="0" applyFont="1" applyBorder="1" applyAlignment="1" applyProtection="1">
      <alignment horizontal="center" vertical="center"/>
      <protection locked="0"/>
    </xf>
    <xf numFmtId="0" fontId="36" fillId="6" borderId="109" xfId="0" applyFont="1" applyFill="1" applyBorder="1" applyAlignment="1">
      <alignment horizontal="center" vertical="center"/>
    </xf>
    <xf numFmtId="0" fontId="36" fillId="6" borderId="80" xfId="0" applyFont="1" applyFill="1" applyBorder="1" applyAlignment="1">
      <alignment horizontal="center" vertical="center"/>
    </xf>
    <xf numFmtId="0" fontId="36" fillId="6" borderId="102" xfId="0" applyFont="1" applyFill="1" applyBorder="1" applyAlignment="1">
      <alignment horizontal="center" vertical="center"/>
    </xf>
    <xf numFmtId="0" fontId="36" fillId="6" borderId="103" xfId="0" applyFont="1" applyFill="1" applyBorder="1" applyAlignment="1">
      <alignment horizontal="center" vertical="center"/>
    </xf>
    <xf numFmtId="0" fontId="36" fillId="6" borderId="104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36" fillId="7" borderId="133" xfId="0" applyFont="1" applyFill="1" applyBorder="1" applyAlignment="1">
      <alignment horizontal="center" vertical="center"/>
    </xf>
    <xf numFmtId="0" fontId="36" fillId="7" borderId="130" xfId="0" applyFont="1" applyFill="1" applyBorder="1" applyAlignment="1">
      <alignment horizontal="center" vertical="center"/>
    </xf>
    <xf numFmtId="0" fontId="36" fillId="7" borderId="109" xfId="0" applyFont="1" applyFill="1" applyBorder="1" applyAlignment="1">
      <alignment horizontal="center" vertical="center"/>
    </xf>
    <xf numFmtId="0" fontId="36" fillId="7" borderId="132" xfId="0" applyFont="1" applyFill="1" applyBorder="1" applyAlignment="1">
      <alignment horizontal="center" vertical="center"/>
    </xf>
    <xf numFmtId="0" fontId="44" fillId="6" borderId="81" xfId="0" applyFont="1" applyFill="1" applyBorder="1" applyAlignment="1">
      <alignment horizontal="center" vertical="center" wrapText="1"/>
    </xf>
    <xf numFmtId="0" fontId="44" fillId="6" borderId="82" xfId="0" applyFont="1" applyFill="1" applyBorder="1" applyAlignment="1">
      <alignment horizontal="center" vertical="center" wrapText="1"/>
    </xf>
    <xf numFmtId="0" fontId="44" fillId="6" borderId="8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33" xfId="0" applyFont="1" applyFill="1" applyBorder="1" applyAlignment="1">
      <alignment horizontal="center" vertical="center" wrapText="1"/>
    </xf>
    <xf numFmtId="0" fontId="46" fillId="4" borderId="30" xfId="0" applyFont="1" applyFill="1" applyBorder="1" applyAlignment="1">
      <alignment horizontal="center" vertical="center" wrapText="1"/>
    </xf>
    <xf numFmtId="0" fontId="46" fillId="4" borderId="34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" fontId="5" fillId="4" borderId="10" xfId="5" applyNumberFormat="1" applyFont="1" applyFill="1" applyBorder="1" applyAlignment="1">
      <alignment horizontal="center" vertical="center"/>
    </xf>
    <xf numFmtId="1" fontId="5" fillId="4" borderId="11" xfId="5" applyNumberFormat="1" applyFont="1" applyFill="1" applyBorder="1" applyAlignment="1">
      <alignment horizontal="center" vertical="center"/>
    </xf>
    <xf numFmtId="1" fontId="5" fillId="4" borderId="12" xfId="5" applyNumberFormat="1" applyFont="1" applyFill="1" applyBorder="1" applyAlignment="1">
      <alignment horizontal="center" vertical="center"/>
    </xf>
    <xf numFmtId="0" fontId="13" fillId="4" borderId="10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 wrapText="1"/>
    </xf>
    <xf numFmtId="0" fontId="13" fillId="4" borderId="12" xfId="4" applyFont="1" applyFill="1" applyBorder="1" applyAlignment="1">
      <alignment horizontal="center" vertical="center" wrapText="1"/>
    </xf>
    <xf numFmtId="1" fontId="5" fillId="2" borderId="111" xfId="5" applyNumberFormat="1" applyFont="1" applyFill="1" applyBorder="1" applyAlignment="1">
      <alignment horizontal="center" vertical="center"/>
    </xf>
    <xf numFmtId="1" fontId="5" fillId="2" borderId="124" xfId="5" applyNumberFormat="1" applyFont="1" applyFill="1" applyBorder="1" applyAlignment="1">
      <alignment horizontal="center" vertical="center"/>
    </xf>
    <xf numFmtId="1" fontId="5" fillId="2" borderId="376" xfId="5" applyNumberFormat="1" applyFont="1" applyFill="1" applyBorder="1" applyAlignment="1">
      <alignment horizontal="center" vertical="center"/>
    </xf>
    <xf numFmtId="1" fontId="5" fillId="2" borderId="120" xfId="5" applyNumberFormat="1" applyFont="1" applyFill="1" applyBorder="1" applyAlignment="1">
      <alignment horizontal="center" vertical="center"/>
    </xf>
    <xf numFmtId="0" fontId="5" fillId="2" borderId="377" xfId="4" applyFont="1" applyFill="1" applyBorder="1" applyAlignment="1">
      <alignment vertical="center"/>
    </xf>
    <xf numFmtId="0" fontId="5" fillId="2" borderId="376" xfId="4" applyFont="1" applyFill="1" applyBorder="1" applyAlignment="1">
      <alignment vertical="center"/>
    </xf>
    <xf numFmtId="0" fontId="5" fillId="2" borderId="356" xfId="4" applyFont="1" applyFill="1" applyBorder="1" applyAlignment="1">
      <alignment vertical="center"/>
    </xf>
    <xf numFmtId="0" fontId="11" fillId="0" borderId="377" xfId="7" applyBorder="1" applyAlignment="1">
      <alignment horizontal="left" vertical="center"/>
    </xf>
    <xf numFmtId="0" fontId="11" fillId="0" borderId="376" xfId="7" applyBorder="1" applyAlignment="1">
      <alignment horizontal="left" vertical="center"/>
    </xf>
    <xf numFmtId="0" fontId="11" fillId="0" borderId="356" xfId="7" applyBorder="1" applyAlignment="1">
      <alignment horizontal="left" vertical="center"/>
    </xf>
    <xf numFmtId="0" fontId="6" fillId="0" borderId="377" xfId="4" applyFont="1" applyBorder="1" applyAlignment="1">
      <alignment horizontal="left" vertical="center"/>
    </xf>
    <xf numFmtId="0" fontId="6" fillId="0" borderId="376" xfId="4" applyFont="1" applyBorder="1" applyAlignment="1">
      <alignment horizontal="left" vertical="center"/>
    </xf>
    <xf numFmtId="0" fontId="6" fillId="0" borderId="356" xfId="4" applyFont="1" applyBorder="1" applyAlignment="1">
      <alignment horizontal="left" vertical="center"/>
    </xf>
    <xf numFmtId="1" fontId="5" fillId="2" borderId="247" xfId="5" applyNumberFormat="1" applyFont="1" applyFill="1" applyBorder="1" applyAlignment="1">
      <alignment horizontal="center" vertical="center"/>
    </xf>
    <xf numFmtId="1" fontId="5" fillId="2" borderId="356" xfId="5" applyNumberFormat="1" applyFont="1" applyFill="1" applyBorder="1" applyAlignment="1">
      <alignment horizontal="center" vertical="center"/>
    </xf>
    <xf numFmtId="0" fontId="5" fillId="2" borderId="107" xfId="4" applyFont="1" applyFill="1" applyBorder="1" applyAlignment="1">
      <alignment vertical="center"/>
    </xf>
    <xf numFmtId="0" fontId="5" fillId="2" borderId="124" xfId="4" applyFont="1" applyFill="1" applyBorder="1" applyAlignment="1">
      <alignment vertical="center"/>
    </xf>
    <xf numFmtId="0" fontId="5" fillId="2" borderId="120" xfId="4" applyFont="1" applyFill="1" applyBorder="1" applyAlignment="1">
      <alignment vertical="center"/>
    </xf>
    <xf numFmtId="0" fontId="6" fillId="0" borderId="107" xfId="4" applyFont="1" applyBorder="1" applyAlignment="1">
      <alignment horizontal="left" vertical="center" wrapText="1"/>
    </xf>
    <xf numFmtId="0" fontId="6" fillId="0" borderId="124" xfId="4" applyFont="1" applyBorder="1" applyAlignment="1">
      <alignment horizontal="left" vertical="center" wrapText="1"/>
    </xf>
    <xf numFmtId="0" fontId="6" fillId="0" borderId="376" xfId="4" applyFont="1" applyBorder="1" applyAlignment="1">
      <alignment horizontal="left" vertical="center" wrapText="1"/>
    </xf>
    <xf numFmtId="0" fontId="6" fillId="0" borderId="120" xfId="4" applyFont="1" applyBorder="1" applyAlignment="1">
      <alignment horizontal="left" vertical="center" wrapText="1"/>
    </xf>
    <xf numFmtId="0" fontId="5" fillId="6" borderId="79" xfId="4" applyFont="1" applyFill="1" applyBorder="1" applyAlignment="1">
      <alignment horizontal="center" vertical="center" wrapText="1"/>
    </xf>
    <xf numFmtId="0" fontId="5" fillId="6" borderId="109" xfId="4" applyFont="1" applyFill="1" applyBorder="1" applyAlignment="1">
      <alignment horizontal="center" vertical="center" wrapText="1"/>
    </xf>
    <xf numFmtId="0" fontId="5" fillId="6" borderId="122" xfId="4" applyFont="1" applyFill="1" applyBorder="1" applyAlignment="1">
      <alignment horizontal="center" vertical="center" wrapText="1"/>
    </xf>
    <xf numFmtId="0" fontId="5" fillId="6" borderId="375" xfId="4" applyFont="1" applyFill="1" applyBorder="1" applyAlignment="1">
      <alignment horizontal="center" vertical="center" wrapText="1"/>
    </xf>
    <xf numFmtId="0" fontId="5" fillId="6" borderId="80" xfId="4" applyFont="1" applyFill="1" applyBorder="1" applyAlignment="1">
      <alignment horizontal="center" vertical="center" wrapText="1"/>
    </xf>
    <xf numFmtId="0" fontId="5" fillId="6" borderId="358" xfId="4" applyFont="1" applyFill="1" applyBorder="1" applyAlignment="1">
      <alignment horizontal="center" vertical="center" wrapText="1"/>
    </xf>
    <xf numFmtId="0" fontId="38" fillId="6" borderId="29" xfId="0" applyFont="1" applyFill="1" applyBorder="1" applyAlignment="1">
      <alignment horizontal="center" vertical="center" wrapText="1"/>
    </xf>
    <xf numFmtId="0" fontId="38" fillId="6" borderId="30" xfId="0" applyFont="1" applyFill="1" applyBorder="1" applyAlignment="1">
      <alignment horizontal="center" vertical="center" wrapText="1"/>
    </xf>
    <xf numFmtId="0" fontId="38" fillId="6" borderId="84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 wrapText="1"/>
    </xf>
    <xf numFmtId="0" fontId="38" fillId="6" borderId="33" xfId="0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 horizontal="center" vertical="center" wrapText="1"/>
    </xf>
    <xf numFmtId="0" fontId="38" fillId="6" borderId="133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 wrapText="1"/>
    </xf>
    <xf numFmtId="0" fontId="11" fillId="6" borderId="79" xfId="7" applyFill="1" applyBorder="1" applyAlignment="1">
      <alignment horizontal="center" vertical="center" wrapText="1"/>
    </xf>
    <xf numFmtId="0" fontId="11" fillId="6" borderId="109" xfId="7" applyFill="1" applyBorder="1" applyAlignment="1">
      <alignment horizontal="center" vertical="center" wrapText="1"/>
    </xf>
    <xf numFmtId="0" fontId="11" fillId="6" borderId="358" xfId="7" applyFill="1" applyBorder="1" applyAlignment="1">
      <alignment horizontal="center" vertical="center" wrapText="1"/>
    </xf>
    <xf numFmtId="0" fontId="11" fillId="6" borderId="80" xfId="7" applyFill="1" applyBorder="1" applyAlignment="1">
      <alignment horizontal="center" vertical="center" wrapText="1"/>
    </xf>
    <xf numFmtId="0" fontId="11" fillId="6" borderId="122" xfId="7" applyFill="1" applyBorder="1" applyAlignment="1">
      <alignment horizontal="center" vertical="center" wrapText="1"/>
    </xf>
    <xf numFmtId="0" fontId="11" fillId="6" borderId="375" xfId="7" applyFill="1" applyBorder="1" applyAlignment="1">
      <alignment horizontal="center" vertical="center" wrapText="1"/>
    </xf>
    <xf numFmtId="0" fontId="11" fillId="2" borderId="377" xfId="7" applyFill="1" applyBorder="1" applyAlignment="1">
      <alignment vertical="center"/>
    </xf>
    <xf numFmtId="0" fontId="11" fillId="2" borderId="376" xfId="7" applyFill="1" applyBorder="1" applyAlignment="1">
      <alignment vertical="center"/>
    </xf>
    <xf numFmtId="0" fontId="11" fillId="2" borderId="356" xfId="7" applyFill="1" applyBorder="1" applyAlignment="1">
      <alignment vertical="center"/>
    </xf>
    <xf numFmtId="0" fontId="5" fillId="4" borderId="79" xfId="4" applyFont="1" applyFill="1" applyBorder="1" applyAlignment="1">
      <alignment horizontal="center" vertical="center" wrapText="1"/>
    </xf>
    <xf numFmtId="0" fontId="5" fillId="4" borderId="109" xfId="4" applyFont="1" applyFill="1" applyBorder="1" applyAlignment="1">
      <alignment horizontal="center" vertical="center" wrapText="1"/>
    </xf>
    <xf numFmtId="0" fontId="5" fillId="4" borderId="358" xfId="4" applyFont="1" applyFill="1" applyBorder="1" applyAlignment="1">
      <alignment horizontal="center" vertical="center" wrapText="1"/>
    </xf>
    <xf numFmtId="0" fontId="5" fillId="4" borderId="80" xfId="4" applyFont="1" applyFill="1" applyBorder="1" applyAlignment="1">
      <alignment horizontal="center" vertical="center" wrapText="1"/>
    </xf>
    <xf numFmtId="0" fontId="15" fillId="4" borderId="117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104" xfId="0" applyFont="1" applyFill="1" applyBorder="1" applyAlignment="1">
      <alignment horizontal="center" vertical="center"/>
    </xf>
    <xf numFmtId="0" fontId="15" fillId="4" borderId="36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4" fillId="5" borderId="361" xfId="0" applyFont="1" applyFill="1" applyBorder="1" applyAlignment="1">
      <alignment horizontal="center" vertical="center"/>
    </xf>
    <xf numFmtId="0" fontId="4" fillId="5" borderId="36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5" fillId="4" borderId="343" xfId="0" applyFont="1" applyFill="1" applyBorder="1" applyAlignment="1">
      <alignment horizontal="center" vertical="center" wrapText="1"/>
    </xf>
    <xf numFmtId="0" fontId="15" fillId="4" borderId="344" xfId="0" applyFont="1" applyFill="1" applyBorder="1" applyAlignment="1">
      <alignment horizontal="center" vertical="center" wrapText="1"/>
    </xf>
    <xf numFmtId="0" fontId="11" fillId="4" borderId="102" xfId="7" applyFill="1" applyBorder="1" applyAlignment="1">
      <alignment horizontal="center" vertical="center"/>
    </xf>
    <xf numFmtId="0" fontId="11" fillId="4" borderId="103" xfId="7" applyFill="1" applyBorder="1" applyAlignment="1">
      <alignment horizontal="center" vertical="center"/>
    </xf>
    <xf numFmtId="0" fontId="11" fillId="4" borderId="104" xfId="7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31" xfId="0" applyFont="1" applyFill="1" applyBorder="1" applyAlignment="1">
      <alignment horizontal="center" vertical="center"/>
    </xf>
    <xf numFmtId="0" fontId="24" fillId="9" borderId="102" xfId="0" applyFont="1" applyFill="1" applyBorder="1" applyAlignment="1">
      <alignment horizontal="center" vertical="center"/>
    </xf>
    <xf numFmtId="0" fontId="24" fillId="9" borderId="103" xfId="0" applyFont="1" applyFill="1" applyBorder="1" applyAlignment="1">
      <alignment horizontal="center" vertical="center"/>
    </xf>
    <xf numFmtId="0" fontId="24" fillId="9" borderId="104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left" wrapText="1"/>
    </xf>
    <xf numFmtId="0" fontId="11" fillId="4" borderId="101" xfId="7" applyFill="1" applyBorder="1" applyAlignment="1">
      <alignment horizontal="center" vertical="center"/>
    </xf>
    <xf numFmtId="0" fontId="11" fillId="4" borderId="116" xfId="7" applyFill="1" applyBorder="1" applyAlignment="1">
      <alignment horizontal="center" vertical="center"/>
    </xf>
    <xf numFmtId="0" fontId="53" fillId="0" borderId="153" xfId="0" applyFont="1" applyBorder="1" applyAlignment="1">
      <alignment horizontal="left" vertical="center" wrapText="1"/>
    </xf>
    <xf numFmtId="0" fontId="53" fillId="0" borderId="140" xfId="0" applyFont="1" applyBorder="1" applyAlignment="1">
      <alignment horizontal="left" vertical="center" wrapText="1"/>
    </xf>
    <xf numFmtId="0" fontId="15" fillId="4" borderId="102" xfId="0" applyFont="1" applyFill="1" applyBorder="1" applyAlignment="1">
      <alignment horizontal="center" vertical="center"/>
    </xf>
    <xf numFmtId="0" fontId="11" fillId="4" borderId="81" xfId="7" applyFill="1" applyBorder="1" applyAlignment="1">
      <alignment horizontal="center" vertical="center"/>
    </xf>
    <xf numFmtId="0" fontId="11" fillId="4" borderId="82" xfId="7" applyFill="1" applyBorder="1" applyAlignment="1">
      <alignment horizontal="center" vertical="center"/>
    </xf>
    <xf numFmtId="0" fontId="11" fillId="4" borderId="83" xfId="7" applyFill="1" applyBorder="1" applyAlignment="1">
      <alignment horizontal="center" vertical="center"/>
    </xf>
    <xf numFmtId="0" fontId="4" fillId="4" borderId="35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4" fillId="9" borderId="87" xfId="0" applyFont="1" applyFill="1" applyBorder="1" applyAlignment="1">
      <alignment horizontal="left"/>
    </xf>
    <xf numFmtId="0" fontId="24" fillId="9" borderId="68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5" fillId="0" borderId="90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vertical="center"/>
    </xf>
    <xf numFmtId="0" fontId="25" fillId="0" borderId="93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3" fontId="25" fillId="0" borderId="9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140" xfId="0" applyFont="1" applyFill="1" applyBorder="1" applyAlignment="1">
      <alignment vertical="center"/>
    </xf>
    <xf numFmtId="0" fontId="25" fillId="0" borderId="140" xfId="0" applyFont="1" applyFill="1" applyBorder="1" applyAlignment="1">
      <alignment horizontal="center" vertical="center"/>
    </xf>
    <xf numFmtId="0" fontId="25" fillId="0" borderId="141" xfId="0" applyFont="1" applyFill="1" applyBorder="1" applyAlignment="1">
      <alignment horizontal="center" vertical="center"/>
    </xf>
    <xf numFmtId="0" fontId="24" fillId="9" borderId="87" xfId="0" applyFont="1" applyFill="1" applyBorder="1" applyAlignment="1">
      <alignment horizontal="left" vertical="center"/>
    </xf>
    <xf numFmtId="0" fontId="4" fillId="0" borderId="9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9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4" fontId="25" fillId="0" borderId="14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90" xfId="0" applyFont="1" applyFill="1" applyBorder="1" applyAlignment="1">
      <alignment horizontal="center"/>
    </xf>
    <xf numFmtId="0" fontId="4" fillId="13" borderId="330" xfId="0" applyFont="1" applyFill="1" applyBorder="1" applyAlignment="1">
      <alignment horizontal="left" vertical="center"/>
    </xf>
    <xf numFmtId="0" fontId="4" fillId="13" borderId="254" xfId="0" applyFont="1" applyFill="1" applyBorder="1" applyAlignment="1">
      <alignment horizontal="left" vertical="center"/>
    </xf>
    <xf numFmtId="0" fontId="4" fillId="4" borderId="330" xfId="0" applyFont="1" applyFill="1" applyBorder="1" applyAlignment="1">
      <alignment horizontal="left" vertical="center"/>
    </xf>
    <xf numFmtId="0" fontId="4" fillId="4" borderId="254" xfId="0" applyFont="1" applyFill="1" applyBorder="1" applyAlignment="1">
      <alignment horizontal="left" vertical="center"/>
    </xf>
    <xf numFmtId="0" fontId="4" fillId="4" borderId="129" xfId="0" applyFont="1" applyFill="1" applyBorder="1" applyAlignment="1">
      <alignment horizontal="left" vertical="center"/>
    </xf>
    <xf numFmtId="0" fontId="4" fillId="4" borderId="133" xfId="0" applyFont="1" applyFill="1" applyBorder="1" applyAlignment="1">
      <alignment horizontal="left" vertical="center"/>
    </xf>
    <xf numFmtId="0" fontId="4" fillId="13" borderId="247" xfId="0" applyFont="1" applyFill="1" applyBorder="1" applyAlignment="1">
      <alignment horizontal="left" vertical="center"/>
    </xf>
    <xf numFmtId="0" fontId="4" fillId="4" borderId="247" xfId="0" applyFont="1" applyFill="1" applyBorder="1" applyAlignment="1">
      <alignment horizontal="left" vertical="center"/>
    </xf>
    <xf numFmtId="0" fontId="4" fillId="4" borderId="243" xfId="0" applyFont="1" applyFill="1" applyBorder="1" applyAlignment="1">
      <alignment horizontal="left" vertical="center"/>
    </xf>
    <xf numFmtId="0" fontId="4" fillId="4" borderId="248" xfId="0" applyFont="1" applyFill="1" applyBorder="1" applyAlignment="1">
      <alignment horizontal="left" vertical="center"/>
    </xf>
    <xf numFmtId="0" fontId="4" fillId="13" borderId="244" xfId="0" applyFont="1" applyFill="1" applyBorder="1" applyAlignment="1">
      <alignment horizontal="left" vertical="center"/>
    </xf>
    <xf numFmtId="0" fontId="4" fillId="4" borderId="244" xfId="0" applyFont="1" applyFill="1" applyBorder="1" applyAlignment="1">
      <alignment horizontal="left" vertical="center"/>
    </xf>
    <xf numFmtId="0" fontId="24" fillId="12" borderId="118" xfId="0" applyFont="1" applyFill="1" applyBorder="1" applyAlignment="1">
      <alignment horizontal="center" vertical="center" wrapText="1"/>
    </xf>
    <xf numFmtId="0" fontId="24" fillId="12" borderId="166" xfId="0" applyFont="1" applyFill="1" applyBorder="1" applyAlignment="1">
      <alignment horizontal="center" vertical="center" wrapText="1"/>
    </xf>
    <xf numFmtId="0" fontId="24" fillId="12" borderId="167" xfId="0" applyFont="1" applyFill="1" applyBorder="1" applyAlignment="1">
      <alignment horizontal="center" vertical="center" wrapText="1"/>
    </xf>
    <xf numFmtId="0" fontId="4" fillId="13" borderId="250" xfId="0" applyFont="1" applyFill="1" applyBorder="1" applyAlignment="1">
      <alignment horizontal="left" vertical="center"/>
    </xf>
    <xf numFmtId="0" fontId="4" fillId="4" borderId="250" xfId="0" applyFont="1" applyFill="1" applyBorder="1" applyAlignment="1">
      <alignment horizontal="left" vertical="center"/>
    </xf>
    <xf numFmtId="0" fontId="4" fillId="13" borderId="255" xfId="0" applyFont="1" applyFill="1" applyBorder="1" applyAlignment="1">
      <alignment horizontal="left" vertical="center"/>
    </xf>
    <xf numFmtId="0" fontId="4" fillId="4" borderId="255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right"/>
    </xf>
    <xf numFmtId="0" fontId="16" fillId="4" borderId="30" xfId="0" applyFont="1" applyFill="1" applyBorder="1" applyAlignment="1">
      <alignment horizontal="right"/>
    </xf>
    <xf numFmtId="0" fontId="16" fillId="4" borderId="17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right"/>
    </xf>
    <xf numFmtId="0" fontId="15" fillId="4" borderId="21" xfId="0" applyFont="1" applyFill="1" applyBorder="1" applyAlignment="1">
      <alignment horizontal="right"/>
    </xf>
    <xf numFmtId="0" fontId="15" fillId="4" borderId="22" xfId="0" applyFont="1" applyFill="1" applyBorder="1" applyAlignment="1">
      <alignment horizontal="right"/>
    </xf>
    <xf numFmtId="0" fontId="15" fillId="4" borderId="42" xfId="0" applyFont="1" applyFill="1" applyBorder="1" applyAlignment="1">
      <alignment horizontal="right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1" fontId="4" fillId="4" borderId="21" xfId="5" applyNumberFormat="1" applyFont="1" applyFill="1" applyBorder="1" applyAlignment="1">
      <alignment horizontal="right" vertical="center"/>
    </xf>
    <xf numFmtId="0" fontId="16" fillId="4" borderId="357" xfId="0" applyFont="1" applyFill="1" applyBorder="1" applyAlignment="1">
      <alignment horizontal="right" vertical="center"/>
    </xf>
    <xf numFmtId="0" fontId="16" fillId="4" borderId="346" xfId="0" applyFont="1" applyFill="1" applyBorder="1" applyAlignment="1">
      <alignment horizontal="right" vertical="center"/>
    </xf>
    <xf numFmtId="1" fontId="4" fillId="4" borderId="111" xfId="5" applyNumberFormat="1" applyFont="1" applyFill="1" applyBorder="1" applyAlignment="1">
      <alignment horizontal="right" vertical="center"/>
    </xf>
    <xf numFmtId="1" fontId="4" fillId="4" borderId="255" xfId="5" applyNumberFormat="1" applyFont="1" applyFill="1" applyBorder="1" applyAlignment="1">
      <alignment horizontal="right" vertical="center"/>
    </xf>
    <xf numFmtId="1" fontId="4" fillId="4" borderId="356" xfId="5" applyNumberFormat="1" applyFont="1" applyFill="1" applyBorder="1" applyAlignment="1">
      <alignment horizontal="right" vertical="center"/>
    </xf>
    <xf numFmtId="1" fontId="4" fillId="4" borderId="100" xfId="5" applyNumberFormat="1" applyFont="1" applyFill="1" applyBorder="1" applyAlignment="1">
      <alignment horizontal="right" vertical="center"/>
    </xf>
    <xf numFmtId="1" fontId="4" fillId="4" borderId="140" xfId="5" applyNumberFormat="1" applyFont="1" applyFill="1" applyBorder="1" applyAlignment="1">
      <alignment horizontal="right" vertical="center"/>
    </xf>
    <xf numFmtId="1" fontId="4" fillId="4" borderId="8" xfId="5" applyNumberFormat="1" applyFont="1" applyFill="1" applyBorder="1" applyAlignment="1">
      <alignment horizontal="right" vertical="center"/>
    </xf>
    <xf numFmtId="1" fontId="4" fillId="2" borderId="101" xfId="5" applyNumberFormat="1" applyFont="1" applyFill="1" applyBorder="1" applyAlignment="1">
      <alignment horizontal="right" vertical="center"/>
    </xf>
    <xf numFmtId="1" fontId="4" fillId="2" borderId="105" xfId="5" applyNumberFormat="1" applyFont="1" applyFill="1" applyBorder="1" applyAlignment="1">
      <alignment horizontal="right" vertical="center"/>
    </xf>
    <xf numFmtId="1" fontId="4" fillId="2" borderId="116" xfId="5" applyNumberFormat="1" applyFont="1" applyFill="1" applyBorder="1" applyAlignment="1">
      <alignment horizontal="right" vertical="center"/>
    </xf>
    <xf numFmtId="1" fontId="4" fillId="4" borderId="29" xfId="5" applyNumberFormat="1" applyFont="1" applyFill="1" applyBorder="1" applyAlignment="1">
      <alignment horizontal="right" vertical="center"/>
    </xf>
    <xf numFmtId="1" fontId="4" fillId="4" borderId="38" xfId="5" applyNumberFormat="1" applyFont="1" applyFill="1" applyBorder="1" applyAlignment="1">
      <alignment horizontal="right" vertical="center"/>
    </xf>
    <xf numFmtId="1" fontId="4" fillId="4" borderId="30" xfId="5" applyNumberFormat="1" applyFont="1" applyFill="1" applyBorder="1" applyAlignment="1">
      <alignment horizontal="right" vertical="center"/>
    </xf>
    <xf numFmtId="1" fontId="4" fillId="4" borderId="33" xfId="5" applyNumberFormat="1" applyFont="1" applyFill="1" applyBorder="1" applyAlignment="1">
      <alignment horizontal="right" vertical="center"/>
    </xf>
    <xf numFmtId="1" fontId="4" fillId="4" borderId="42" xfId="5" applyNumberFormat="1" applyFont="1" applyFill="1" applyBorder="1" applyAlignment="1">
      <alignment horizontal="right" vertical="center"/>
    </xf>
    <xf numFmtId="1" fontId="4" fillId="4" borderId="34" xfId="5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171" fontId="4" fillId="0" borderId="0" xfId="8" applyNumberFormat="1" applyFont="1" applyBorder="1" applyAlignment="1">
      <alignment horizontal="left" vertical="top" shrinkToFit="1"/>
    </xf>
    <xf numFmtId="171" fontId="4" fillId="0" borderId="28" xfId="8" applyNumberFormat="1" applyFont="1" applyBorder="1" applyAlignment="1">
      <alignment horizontal="left" vertical="top" shrinkToFit="1"/>
    </xf>
    <xf numFmtId="172" fontId="4" fillId="4" borderId="102" xfId="8" applyNumberFormat="1" applyFont="1" applyFill="1" applyBorder="1" applyAlignment="1">
      <alignment horizontal="center" vertical="center" wrapText="1"/>
    </xf>
    <xf numFmtId="172" fontId="4" fillId="4" borderId="103" xfId="8" applyNumberFormat="1" applyFont="1" applyFill="1" applyBorder="1" applyAlignment="1">
      <alignment horizontal="center" vertical="center" wrapText="1"/>
    </xf>
    <xf numFmtId="172" fontId="4" fillId="4" borderId="104" xfId="8" applyNumberFormat="1" applyFont="1" applyFill="1" applyBorder="1" applyAlignment="1">
      <alignment horizontal="center" vertical="center" wrapText="1"/>
    </xf>
    <xf numFmtId="4" fontId="4" fillId="4" borderId="26" xfId="8" applyNumberFormat="1" applyFont="1" applyFill="1" applyBorder="1" applyAlignment="1">
      <alignment horizontal="center" vertical="center"/>
    </xf>
    <xf numFmtId="4" fontId="4" fillId="4" borderId="37" xfId="8" applyNumberFormat="1" applyFont="1" applyFill="1" applyBorder="1" applyAlignment="1">
      <alignment horizontal="center" vertical="center"/>
    </xf>
    <xf numFmtId="4" fontId="4" fillId="4" borderId="40" xfId="8" applyNumberFormat="1" applyFont="1" applyFill="1" applyBorder="1" applyAlignment="1">
      <alignment horizontal="center" vertical="center"/>
    </xf>
  </cellXfs>
  <cellStyles count="15">
    <cellStyle name="Hiperlink" xfId="7" builtinId="8"/>
    <cellStyle name="Moeda" xfId="3" builtinId="4"/>
    <cellStyle name="Moeda 2" xfId="5"/>
    <cellStyle name="Moeda 2 2" xfId="13"/>
    <cellStyle name="Moeda 6" xfId="10"/>
    <cellStyle name="Normal" xfId="0" builtinId="0"/>
    <cellStyle name="Normal 14" xfId="8"/>
    <cellStyle name="Normal 2" xfId="4"/>
    <cellStyle name="Normal 2 2" xfId="9"/>
    <cellStyle name="Porcentagem" xfId="2" builtinId="5"/>
    <cellStyle name="Porcentagem 6" xfId="6"/>
    <cellStyle name="Porcentagem 8" xfId="12"/>
    <cellStyle name="Vírgula" xfId="1" builtinId="3"/>
    <cellStyle name="Vírgula 2" xfId="14"/>
    <cellStyle name="Vírgula 6" xfId="11"/>
  </cellStyles>
  <dxfs count="4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condense val="0"/>
        <extend val="0"/>
        <sz val="11"/>
        <color indexed="10"/>
      </font>
    </dxf>
    <dxf>
      <fill>
        <patternFill>
          <bgColor indexed="43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color rgb="FFFF0000"/>
      </font>
    </dxf>
    <dxf>
      <font>
        <color rgb="FFFF000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000099"/>
      <color rgb="FF99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B9" fmlaRange="LOTE!$A$5:$A$5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28575</xdr:rowOff>
        </xdr:from>
        <xdr:to>
          <xdr:col>3</xdr:col>
          <xdr:colOff>1590675</xdr:colOff>
          <xdr:row>8</xdr:row>
          <xdr:rowOff>323850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123826</xdr:colOff>
      <xdr:row>5</xdr:row>
      <xdr:rowOff>28575</xdr:rowOff>
    </xdr:from>
    <xdr:ext cx="85725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xmlns="" id="{00000000-0008-0000-0300-000003000000}"/>
                </a:ext>
              </a:extLst>
            </xdr:cNvPr>
            <xdr:cNvSpPr txBox="1"/>
          </xdr:nvSpPr>
          <xdr:spPr>
            <a:xfrm>
              <a:off x="5829301" y="800100"/>
              <a:ext cx="857250" cy="352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pt-BR" sz="110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r>
                          <a:rPr lang="pt-BR" sz="1100" i="0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𝑥𝑟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FAEE076E-F559-4A10-AD88-37AC56B68429}"/>
                </a:ext>
              </a:extLst>
            </xdr:cNvPr>
            <xdr:cNvSpPr txBox="1"/>
          </xdr:nvSpPr>
          <xdr:spPr>
            <a:xfrm>
              <a:off x="5829301" y="800100"/>
              <a:ext cx="857250" cy="352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pt-BR" sz="1100" i="0">
                  <a:latin typeface="Cambria Math" panose="02040503050406030204" pitchFamily="18" charset="0"/>
                </a:rPr>
                <a:t>𝑁=𝐴/2</a:t>
              </a:r>
              <a:r>
                <a:rPr lang="pt-BR" sz="1100" b="0" i="0">
                  <a:latin typeface="Cambria Math" panose="02040503050406030204" pitchFamily="18" charset="0"/>
                </a:rPr>
                <a:t>1</a:t>
              </a:r>
              <a:r>
                <a:rPr lang="pt-BR" sz="1100" i="0">
                  <a:latin typeface="Cambria Math" panose="02040503050406030204" pitchFamily="18" charset="0"/>
                </a:rPr>
                <a:t>𝑥𝑟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ias-uteis.com/calendario_dias_uteis_2019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5" tint="0.59999389629810485"/>
    <pageSetUpPr fitToPage="1"/>
  </sheetPr>
  <dimension ref="A1:D18"/>
  <sheetViews>
    <sheetView showGridLines="0" zoomScaleNormal="100" workbookViewId="0">
      <selection activeCell="B12" sqref="B12"/>
    </sheetView>
  </sheetViews>
  <sheetFormatPr defaultRowHeight="15"/>
  <cols>
    <col min="1" max="1" width="18.5703125" customWidth="1"/>
    <col min="2" max="2" width="24.28515625" customWidth="1"/>
    <col min="3" max="3" width="19.42578125" customWidth="1"/>
    <col min="4" max="4" width="24" customWidth="1"/>
    <col min="5" max="6" width="20.42578125" customWidth="1"/>
  </cols>
  <sheetData>
    <row r="1" spans="1:4" ht="15.75" thickBot="1">
      <c r="A1" s="959" t="s">
        <v>155</v>
      </c>
      <c r="B1" s="960"/>
      <c r="C1" s="960"/>
      <c r="D1" s="961"/>
    </row>
    <row r="2" spans="1:4" ht="11.25" customHeight="1">
      <c r="A2" s="273"/>
      <c r="B2" s="273"/>
      <c r="C2" s="273"/>
      <c r="D2" s="273"/>
    </row>
    <row r="3" spans="1:4" ht="11.25" customHeight="1" thickBot="1">
      <c r="A3" s="414" t="s">
        <v>318</v>
      </c>
      <c r="B3" s="273"/>
      <c r="C3" s="273"/>
      <c r="D3" s="273"/>
    </row>
    <row r="4" spans="1:4" ht="22.5" customHeight="1">
      <c r="A4" s="419" t="s">
        <v>319</v>
      </c>
      <c r="B4" s="962" t="s">
        <v>368</v>
      </c>
      <c r="C4" s="962"/>
      <c r="D4" s="963"/>
    </row>
    <row r="5" spans="1:4" ht="22.5" customHeight="1">
      <c r="A5" s="415" t="s">
        <v>321</v>
      </c>
      <c r="B5" s="966" t="s">
        <v>369</v>
      </c>
      <c r="C5" s="966"/>
      <c r="D5" s="967"/>
    </row>
    <row r="6" spans="1:4" ht="21" customHeight="1" thickBot="1">
      <c r="A6" s="420" t="s">
        <v>320</v>
      </c>
      <c r="B6" s="964"/>
      <c r="C6" s="964"/>
      <c r="D6" s="965"/>
    </row>
    <row r="7" spans="1:4" s="418" customFormat="1" ht="11.25" customHeight="1">
      <c r="A7" s="416"/>
      <c r="B7" s="417"/>
      <c r="C7" s="417"/>
      <c r="D7" s="417"/>
    </row>
    <row r="8" spans="1:4" ht="15.75" thickBot="1">
      <c r="A8" s="414" t="s">
        <v>317</v>
      </c>
      <c r="B8" s="273"/>
      <c r="C8" s="273"/>
      <c r="D8" s="273"/>
    </row>
    <row r="9" spans="1:4" ht="27" customHeight="1">
      <c r="A9" s="330" t="s">
        <v>106</v>
      </c>
      <c r="B9" s="955">
        <v>1</v>
      </c>
      <c r="C9" s="955"/>
      <c r="D9" s="956"/>
    </row>
    <row r="10" spans="1:4" ht="22.5" customHeight="1" thickBot="1">
      <c r="A10" s="331" t="s">
        <v>107</v>
      </c>
      <c r="B10" s="957"/>
      <c r="C10" s="957"/>
      <c r="D10" s="958"/>
    </row>
    <row r="11" spans="1:4" ht="33.75" customHeight="1">
      <c r="A11" s="953" t="s">
        <v>109</v>
      </c>
      <c r="B11" s="709" t="s">
        <v>325</v>
      </c>
      <c r="C11" s="332" t="s">
        <v>104</v>
      </c>
      <c r="D11" s="333" t="s">
        <v>312</v>
      </c>
    </row>
    <row r="12" spans="1:4" ht="30.75" customHeight="1" thickBot="1">
      <c r="A12" s="954"/>
      <c r="B12" s="334">
        <f ca="1">OFFSET(LOTE!F4,B9,0)</f>
        <v>200000</v>
      </c>
      <c r="C12" s="334">
        <f ca="1">OFFSET(LOTE!G4,B9,0)</f>
        <v>2.06</v>
      </c>
      <c r="D12" s="335">
        <f ca="1">OFFSET(LOTE!I4,B9,0)</f>
        <v>411995.88</v>
      </c>
    </row>
    <row r="13" spans="1:4">
      <c r="A13" s="16"/>
      <c r="B13" s="15"/>
      <c r="C13" s="15"/>
      <c r="D13" s="15"/>
    </row>
    <row r="14" spans="1:4">
      <c r="A14" s="16" t="s">
        <v>322</v>
      </c>
      <c r="B14" s="15"/>
      <c r="C14" s="15"/>
      <c r="D14" s="15"/>
    </row>
    <row r="15" spans="1:4" ht="37.5" customHeight="1">
      <c r="B15" s="428"/>
      <c r="C15" s="427"/>
      <c r="D15" s="15"/>
    </row>
    <row r="16" spans="1:4">
      <c r="B16" s="425" t="s">
        <v>329</v>
      </c>
      <c r="C16" s="426"/>
      <c r="D16" s="15"/>
    </row>
    <row r="17" spans="1:4">
      <c r="A17" s="16"/>
      <c r="B17" s="17"/>
      <c r="C17" s="17"/>
      <c r="D17" s="15"/>
    </row>
    <row r="18" spans="1:4">
      <c r="A18" s="16"/>
      <c r="B18" s="17"/>
      <c r="C18" s="17"/>
      <c r="D18" s="15"/>
    </row>
  </sheetData>
  <sheetProtection password="89AB" sheet="1" objects="1" scenarios="1"/>
  <protectedRanges>
    <protectedRange sqref="A9:D10" name="Intervalo1"/>
    <protectedRange sqref="B4:D6" name="Intervalo2"/>
    <protectedRange sqref="A14:D16" name="Intervalo3"/>
  </protectedRanges>
  <mergeCells count="7">
    <mergeCell ref="A11:A12"/>
    <mergeCell ref="B9:D9"/>
    <mergeCell ref="B10:D10"/>
    <mergeCell ref="A1:D1"/>
    <mergeCell ref="B4:D4"/>
    <mergeCell ref="B6:D6"/>
    <mergeCell ref="B5:D5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28575</xdr:rowOff>
                  </from>
                  <to>
                    <xdr:col>3</xdr:col>
                    <xdr:colOff>1590675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8" tint="0.79998168889431442"/>
    <pageSetUpPr fitToPage="1"/>
  </sheetPr>
  <dimension ref="A1:J16"/>
  <sheetViews>
    <sheetView showGridLines="0" zoomScaleNormal="100" workbookViewId="0">
      <pane ySplit="3" topLeftCell="A4" activePane="bottomLeft" state="frozen"/>
      <selection pane="bottomLeft" activeCell="A14" sqref="A2:G14"/>
    </sheetView>
  </sheetViews>
  <sheetFormatPr defaultRowHeight="12.75"/>
  <cols>
    <col min="1" max="1" width="50.5703125" style="28" customWidth="1"/>
    <col min="2" max="2" width="13.7109375" style="28" bestFit="1" customWidth="1"/>
    <col min="3" max="3" width="14.85546875" style="28" customWidth="1"/>
    <col min="4" max="4" width="14.5703125" style="28" bestFit="1" customWidth="1"/>
    <col min="5" max="6" width="14.42578125" style="28" customWidth="1"/>
    <col min="7" max="7" width="14" style="28" customWidth="1"/>
    <col min="8" max="8" width="9.140625" style="28"/>
    <col min="9" max="9" width="6.42578125" style="28" customWidth="1"/>
    <col min="10" max="10" width="9.85546875" style="28" customWidth="1"/>
    <col min="11" max="16384" width="9.140625" style="28"/>
  </cols>
  <sheetData>
    <row r="1" spans="1:10" ht="9" customHeight="1" thickBot="1"/>
    <row r="2" spans="1:10" ht="26.25" customHeight="1" thickBot="1">
      <c r="A2" s="1116" t="s">
        <v>160</v>
      </c>
      <c r="B2" s="1034"/>
      <c r="C2" s="1117"/>
      <c r="D2" s="1117"/>
      <c r="E2" s="1117"/>
      <c r="F2" s="1117"/>
      <c r="G2" s="1118"/>
    </row>
    <row r="3" spans="1:10" ht="45.75" customHeight="1">
      <c r="A3" s="106" t="s">
        <v>43</v>
      </c>
      <c r="B3" s="180" t="s">
        <v>49</v>
      </c>
      <c r="C3" s="107" t="s">
        <v>96</v>
      </c>
      <c r="D3" s="107" t="s">
        <v>176</v>
      </c>
      <c r="E3" s="107" t="s">
        <v>51</v>
      </c>
      <c r="F3" s="181" t="s">
        <v>97</v>
      </c>
      <c r="G3" s="182" t="s">
        <v>161</v>
      </c>
    </row>
    <row r="4" spans="1:10" ht="30" customHeight="1">
      <c r="A4" s="110" t="str">
        <f>'ENTRADA DE DADOS'!A100</f>
        <v xml:space="preserve">FIO DE NYLON QUADRADO, 3mm, 2KG - PARA ROÇADEIRA </v>
      </c>
      <c r="B4" s="99" t="str">
        <f>'ENTRADA DE DADOS'!B100</f>
        <v>METRO</v>
      </c>
      <c r="C4" s="170">
        <f>'ENTRADA DE DADOS'!C100</f>
        <v>1.28</v>
      </c>
      <c r="D4" s="171">
        <f>'ENTRADA DE DADOS'!D100</f>
        <v>165.06</v>
      </c>
      <c r="E4" s="170">
        <f>ROUND(C4*D4,2)</f>
        <v>211.28</v>
      </c>
      <c r="F4" s="172">
        <f>ROUND(E4/12,2)</f>
        <v>17.61</v>
      </c>
      <c r="G4" s="186">
        <f>ROUND(F4-(F4*$E$13),2)</f>
        <v>17.61</v>
      </c>
      <c r="I4" s="89"/>
      <c r="J4" s="173"/>
    </row>
    <row r="5" spans="1:10" ht="25.5" customHeight="1">
      <c r="A5" s="110" t="str">
        <f>'ENTRADA DE DADOS'!A101</f>
        <v>GASOLINA (ROÇADEIRA E SOPRADOR DE FOLHAS)</v>
      </c>
      <c r="B5" s="100" t="str">
        <f>'ENTRADA DE DADOS'!B101</f>
        <v>LITRO</v>
      </c>
      <c r="C5" s="174">
        <f>'ENTRADA DE DADOS'!C101</f>
        <v>6.21</v>
      </c>
      <c r="D5" s="171">
        <f>'ENTRADA DE DADOS'!D101</f>
        <v>1385.5404000000001</v>
      </c>
      <c r="E5" s="170">
        <f t="shared" ref="E5:E7" si="0">ROUND(C5*D5,2)</f>
        <v>8604.2099999999991</v>
      </c>
      <c r="F5" s="172">
        <f t="shared" ref="F5:F7" si="1">ROUND(E5/12,2)</f>
        <v>717.02</v>
      </c>
      <c r="G5" s="186">
        <f t="shared" ref="G5:G7" si="2">ROUND(F5-(F5*$E$13),2)</f>
        <v>717.02</v>
      </c>
      <c r="I5" s="89"/>
      <c r="J5" s="173"/>
    </row>
    <row r="6" spans="1:10" ht="32.25" customHeight="1">
      <c r="A6" s="110" t="str">
        <f>'ENTRADA DE DADOS'!A102</f>
        <v xml:space="preserve">SACO DE LIXO, CAPACIDADE MÍNIMA DE 100 LITROS, MICRA DE 0,006, DE COR CINZA OU PRETO </v>
      </c>
      <c r="B6" s="100" t="str">
        <f>'ENTRADA DE DADOS'!B102</f>
        <v>UNIDADE</v>
      </c>
      <c r="C6" s="88">
        <f>'ENTRADA DE DADOS'!C102</f>
        <v>1.1000000000000001</v>
      </c>
      <c r="D6" s="339">
        <f>'ENTRADA DE DADOS'!D102</f>
        <v>2268</v>
      </c>
      <c r="E6" s="170">
        <f t="shared" si="0"/>
        <v>2494.8000000000002</v>
      </c>
      <c r="F6" s="172">
        <f t="shared" si="1"/>
        <v>207.9</v>
      </c>
      <c r="G6" s="186">
        <f t="shared" si="2"/>
        <v>207.9</v>
      </c>
      <c r="I6" s="89"/>
      <c r="J6" s="173"/>
    </row>
    <row r="7" spans="1:10" ht="31.5" customHeight="1">
      <c r="A7" s="187" t="str">
        <f>'ENTRADA DE DADOS'!A103</f>
        <v>ÓLEO MOTOR 2 TEMPOS</v>
      </c>
      <c r="B7" s="188" t="str">
        <f>'ENTRADA DE DADOS'!B103</f>
        <v>LITRO</v>
      </c>
      <c r="C7" s="189">
        <f>'ENTRADA DE DADOS'!C103</f>
        <v>18.2</v>
      </c>
      <c r="D7" s="190">
        <f>'ENTRADA DE DADOS'!D103</f>
        <v>55.421616000000007</v>
      </c>
      <c r="E7" s="191">
        <f t="shared" si="0"/>
        <v>1008.67</v>
      </c>
      <c r="F7" s="192">
        <f t="shared" si="1"/>
        <v>84.06</v>
      </c>
      <c r="G7" s="193">
        <f t="shared" si="2"/>
        <v>84.06</v>
      </c>
      <c r="I7" s="89"/>
      <c r="J7" s="173"/>
    </row>
    <row r="8" spans="1:10" ht="19.5" customHeight="1">
      <c r="A8" s="748" t="str">
        <f>'ENTRADA DE DADOS'!A104</f>
        <v>HERBICIDA N- 30 GALÃO 20LITROS</v>
      </c>
      <c r="B8" s="749" t="str">
        <f>'ENTRADA DE DADOS'!B104</f>
        <v>GALÃO</v>
      </c>
      <c r="C8" s="189">
        <f>'ENTRADA DE DADOS'!C104</f>
        <v>948</v>
      </c>
      <c r="D8" s="190">
        <f>'ENTRADA DE DADOS'!D104</f>
        <v>30</v>
      </c>
      <c r="E8" s="191">
        <f t="shared" ref="E8:E10" si="3">ROUND(C8*D8,2)</f>
        <v>28440</v>
      </c>
      <c r="F8" s="192">
        <f t="shared" ref="F8:F10" si="4">ROUND(E8/12,2)</f>
        <v>2370</v>
      </c>
      <c r="G8" s="193">
        <f t="shared" ref="G8:G10" si="5">ROUND(F8-(F8*$E$13),2)</f>
        <v>2370</v>
      </c>
      <c r="I8" s="89"/>
      <c r="J8" s="173"/>
    </row>
    <row r="9" spans="1:10" ht="19.5" customHeight="1">
      <c r="A9" s="748">
        <f>'ENTRADA DE DADOS'!A105</f>
        <v>0</v>
      </c>
      <c r="B9" s="749">
        <f>'ENTRADA DE DADOS'!B105</f>
        <v>0</v>
      </c>
      <c r="C9" s="189">
        <f>'ENTRADA DE DADOS'!C105</f>
        <v>0</v>
      </c>
      <c r="D9" s="190">
        <f>'ENTRADA DE DADOS'!D105</f>
        <v>0</v>
      </c>
      <c r="E9" s="191">
        <f t="shared" si="3"/>
        <v>0</v>
      </c>
      <c r="F9" s="192">
        <f t="shared" si="4"/>
        <v>0</v>
      </c>
      <c r="G9" s="193">
        <f t="shared" si="5"/>
        <v>0</v>
      </c>
      <c r="I9" s="89"/>
      <c r="J9" s="173"/>
    </row>
    <row r="10" spans="1:10" ht="19.5" customHeight="1" thickBot="1">
      <c r="A10" s="748">
        <f>'ENTRADA DE DADOS'!A106</f>
        <v>0</v>
      </c>
      <c r="B10" s="749">
        <f>'ENTRADA DE DADOS'!B106</f>
        <v>0</v>
      </c>
      <c r="C10" s="189">
        <f>'ENTRADA DE DADOS'!C106</f>
        <v>0</v>
      </c>
      <c r="D10" s="190">
        <f>'ENTRADA DE DADOS'!D106</f>
        <v>0</v>
      </c>
      <c r="E10" s="191">
        <f t="shared" si="3"/>
        <v>0</v>
      </c>
      <c r="F10" s="192">
        <f t="shared" si="4"/>
        <v>0</v>
      </c>
      <c r="G10" s="193">
        <f t="shared" si="5"/>
        <v>0</v>
      </c>
      <c r="I10" s="89"/>
      <c r="J10" s="173"/>
    </row>
    <row r="11" spans="1:10" ht="18.75" customHeight="1" thickBot="1">
      <c r="A11" s="1128" t="s">
        <v>25</v>
      </c>
      <c r="B11" s="1129"/>
      <c r="C11" s="1130"/>
      <c r="D11" s="1130"/>
      <c r="E11" s="194">
        <f>SUM(E4:E10)</f>
        <v>40758.959999999999</v>
      </c>
      <c r="F11" s="195">
        <f>SUM(F4:F10)</f>
        <v>3396.59</v>
      </c>
      <c r="G11" s="196">
        <f>SUM(G4:G10)</f>
        <v>3396.59</v>
      </c>
      <c r="I11" s="89"/>
      <c r="J11" s="173"/>
    </row>
    <row r="12" spans="1:10" ht="7.5" customHeight="1" thickBot="1">
      <c r="A12" s="175"/>
      <c r="B12" s="175"/>
      <c r="C12" s="175"/>
      <c r="D12" s="175"/>
      <c r="E12" s="176"/>
      <c r="F12" s="176"/>
      <c r="G12" s="176"/>
      <c r="I12" s="89"/>
      <c r="J12" s="173"/>
    </row>
    <row r="13" spans="1:10" ht="18.75" customHeight="1">
      <c r="A13" s="1131" t="s">
        <v>156</v>
      </c>
      <c r="B13" s="1132"/>
      <c r="C13" s="1133"/>
      <c r="D13" s="1133"/>
      <c r="E13" s="385">
        <f>'Uniformes e EPIs'!J20</f>
        <v>0</v>
      </c>
      <c r="F13" s="183">
        <f>-ROUND(F11*E13,2)</f>
        <v>0</v>
      </c>
      <c r="I13" s="89"/>
      <c r="J13" s="173"/>
    </row>
    <row r="14" spans="1:10" ht="18.75" customHeight="1" thickBot="1">
      <c r="A14" s="1134" t="s">
        <v>158</v>
      </c>
      <c r="B14" s="1135"/>
      <c r="C14" s="1136"/>
      <c r="D14" s="1136"/>
      <c r="E14" s="184"/>
      <c r="F14" s="185">
        <f>SUM(F11:F13)</f>
        <v>3396.59</v>
      </c>
    </row>
    <row r="16" spans="1:10">
      <c r="C16" s="177"/>
    </row>
  </sheetData>
  <sheetProtection password="89AB" sheet="1" objects="1" scenarios="1" formatCells="0"/>
  <protectedRanges>
    <protectedRange sqref="E13" name="Intervalo1"/>
  </protectedRanges>
  <mergeCells count="4">
    <mergeCell ref="A2:G2"/>
    <mergeCell ref="A11:D11"/>
    <mergeCell ref="A13:D13"/>
    <mergeCell ref="A14:D14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8" tint="0.79998168889431442"/>
    <pageSetUpPr fitToPage="1"/>
  </sheetPr>
  <dimension ref="B1:M69"/>
  <sheetViews>
    <sheetView showGridLines="0" tabSelected="1" workbookViewId="0">
      <pane xSplit="1" ySplit="2" topLeftCell="B3" activePane="bottomRight" state="frozen"/>
      <selection activeCell="B18" sqref="B18:C18"/>
      <selection pane="topRight" activeCell="B18" sqref="B18:C18"/>
      <selection pane="bottomLeft" activeCell="B18" sqref="B18:C18"/>
      <selection pane="bottomRight" activeCell="E67" sqref="B1:E67"/>
    </sheetView>
  </sheetViews>
  <sheetFormatPr defaultRowHeight="12.75"/>
  <cols>
    <col min="1" max="1" width="2.28515625" style="28" customWidth="1"/>
    <col min="2" max="2" width="41.7109375" style="28" customWidth="1"/>
    <col min="3" max="3" width="13.28515625" style="28" bestFit="1" customWidth="1"/>
    <col min="4" max="4" width="15" style="28" bestFit="1" customWidth="1"/>
    <col min="5" max="5" width="14.28515625" style="28" customWidth="1"/>
    <col min="6" max="16384" width="9.140625" style="28"/>
  </cols>
  <sheetData>
    <row r="1" spans="2:5" ht="5.25" customHeight="1" thickBot="1">
      <c r="B1" s="1137"/>
      <c r="C1" s="1137"/>
      <c r="D1" s="1137"/>
      <c r="E1" s="1137"/>
    </row>
    <row r="2" spans="2:5" ht="21" customHeight="1" thickBot="1">
      <c r="B2" s="1140" t="s">
        <v>166</v>
      </c>
      <c r="C2" s="1141"/>
      <c r="D2" s="1141"/>
      <c r="E2" s="1142"/>
    </row>
    <row r="3" spans="2:5" ht="9" customHeight="1">
      <c r="B3" s="197"/>
      <c r="C3" s="198"/>
      <c r="D3" s="198"/>
      <c r="E3" s="199"/>
    </row>
    <row r="4" spans="2:5">
      <c r="B4" s="200" t="s">
        <v>76</v>
      </c>
      <c r="C4" s="201">
        <f>'ENTRADA DE DADOS'!B80</f>
        <v>1</v>
      </c>
      <c r="D4" s="198"/>
      <c r="E4" s="202"/>
    </row>
    <row r="5" spans="2:5">
      <c r="B5" s="197"/>
      <c r="C5" s="203"/>
      <c r="D5" s="204"/>
      <c r="E5" s="205"/>
    </row>
    <row r="6" spans="2:5">
      <c r="B6" s="206" t="s">
        <v>55</v>
      </c>
      <c r="C6" s="203"/>
      <c r="D6" s="204"/>
      <c r="E6" s="205"/>
    </row>
    <row r="7" spans="2:5">
      <c r="B7" s="197" t="s">
        <v>76</v>
      </c>
      <c r="C7" s="203"/>
      <c r="D7" s="204"/>
      <c r="E7" s="205"/>
    </row>
    <row r="8" spans="2:5">
      <c r="B8" s="207" t="s">
        <v>177</v>
      </c>
      <c r="C8" s="340">
        <f>'ENTRADA DE DADOS'!B83</f>
        <v>1680</v>
      </c>
      <c r="D8" s="209" t="s">
        <v>64</v>
      </c>
      <c r="E8" s="210"/>
    </row>
    <row r="9" spans="2:5">
      <c r="B9" s="197"/>
      <c r="C9" s="203"/>
      <c r="D9" s="204"/>
      <c r="E9" s="205"/>
    </row>
    <row r="10" spans="2:5">
      <c r="B10" s="206" t="s">
        <v>56</v>
      </c>
      <c r="C10" s="208"/>
      <c r="D10" s="211"/>
      <c r="E10" s="210"/>
    </row>
    <row r="11" spans="2:5">
      <c r="B11" s="207" t="s">
        <v>57</v>
      </c>
      <c r="C11" s="208">
        <f>C8</f>
        <v>1680</v>
      </c>
      <c r="D11" s="211"/>
      <c r="E11" s="210"/>
    </row>
    <row r="12" spans="2:5">
      <c r="B12" s="207" t="s">
        <v>180</v>
      </c>
      <c r="C12" s="212">
        <f>'ENTRADA DE DADOS'!B85</f>
        <v>6.21</v>
      </c>
      <c r="D12" s="213"/>
      <c r="E12" s="210"/>
    </row>
    <row r="13" spans="2:5">
      <c r="B13" s="207" t="s">
        <v>58</v>
      </c>
      <c r="C13" s="208">
        <f>'ENTRADA DE DADOS'!B86</f>
        <v>5.5</v>
      </c>
      <c r="D13" s="211"/>
      <c r="E13" s="210"/>
    </row>
    <row r="14" spans="2:5" ht="13.5" thickBot="1">
      <c r="B14" s="214" t="s">
        <v>59</v>
      </c>
      <c r="C14" s="215">
        <f>IF(C12&gt;0,ROUND((C11/C13)*C12,2),0)</f>
        <v>1896.87</v>
      </c>
      <c r="D14" s="208" t="s">
        <v>60</v>
      </c>
      <c r="E14" s="210"/>
    </row>
    <row r="15" spans="2:5" ht="13.5" thickTop="1">
      <c r="B15" s="207"/>
      <c r="C15" s="208"/>
      <c r="D15" s="211"/>
      <c r="E15" s="210"/>
    </row>
    <row r="16" spans="2:5">
      <c r="B16" s="206" t="s">
        <v>61</v>
      </c>
      <c r="C16" s="208"/>
      <c r="D16" s="211"/>
      <c r="E16" s="210"/>
    </row>
    <row r="17" spans="2:11" ht="15" customHeight="1">
      <c r="B17" s="207" t="s">
        <v>62</v>
      </c>
      <c r="C17" s="216">
        <f>IF('ENTRADA DE DADOS'!B79="Próprio",'ENTRADA DE DADOS'!B82,0)</f>
        <v>130450</v>
      </c>
      <c r="D17" s="1138"/>
      <c r="E17" s="1139"/>
      <c r="F17" s="217"/>
      <c r="G17" s="217"/>
      <c r="H17" s="217"/>
      <c r="I17" s="217"/>
      <c r="K17" s="217"/>
    </row>
    <row r="18" spans="2:11">
      <c r="B18" s="207" t="s">
        <v>179</v>
      </c>
      <c r="C18" s="216">
        <f>C17*'ENTRADA DE DADOS'!B95</f>
        <v>13045</v>
      </c>
      <c r="D18" s="218"/>
      <c r="E18" s="202"/>
    </row>
    <row r="19" spans="2:11">
      <c r="B19" s="207" t="s">
        <v>298</v>
      </c>
      <c r="C19" s="219">
        <f>C4</f>
        <v>1</v>
      </c>
      <c r="D19" s="220"/>
      <c r="E19" s="202"/>
    </row>
    <row r="20" spans="2:11">
      <c r="B20" s="337" t="s">
        <v>300</v>
      </c>
      <c r="C20" s="219">
        <f>IF('ENTRADA DE DADOS'!B79="Próprio",'ENTRADA DE DADOS'!B81,0)</f>
        <v>1.45</v>
      </c>
      <c r="D20" s="220"/>
      <c r="E20" s="202"/>
    </row>
    <row r="21" spans="2:11" ht="13.5" thickBot="1">
      <c r="B21" s="214" t="s">
        <v>59</v>
      </c>
      <c r="C21" s="221">
        <f>ROUND((C18*C19/C51)*C20,2)</f>
        <v>315.25</v>
      </c>
      <c r="D21" s="222"/>
      <c r="E21" s="202"/>
    </row>
    <row r="22" spans="2:11" ht="13.5" thickTop="1">
      <c r="B22" s="207"/>
      <c r="C22" s="208"/>
      <c r="D22" s="208"/>
      <c r="E22" s="223"/>
    </row>
    <row r="23" spans="2:11">
      <c r="B23" s="206" t="s">
        <v>65</v>
      </c>
      <c r="C23" s="211"/>
      <c r="D23" s="65"/>
      <c r="E23" s="210"/>
    </row>
    <row r="24" spans="2:11">
      <c r="B24" s="207" t="s">
        <v>296</v>
      </c>
      <c r="C24" s="224">
        <f>IF('ENTRADA DE DADOS'!B79="Próprio",'ENTRADA DE DADOS'!B88*'ENTRADA DE DADOS'!B87,0)</f>
        <v>191.2</v>
      </c>
      <c r="D24" s="65"/>
      <c r="E24" s="210"/>
    </row>
    <row r="25" spans="2:11">
      <c r="B25" s="337" t="s">
        <v>288</v>
      </c>
      <c r="C25" s="224">
        <f>C8</f>
        <v>1680</v>
      </c>
      <c r="D25" s="65"/>
      <c r="E25" s="210"/>
    </row>
    <row r="26" spans="2:11">
      <c r="B26" s="337" t="s">
        <v>289</v>
      </c>
      <c r="C26" s="224">
        <f>'ENTRADA DE DADOS'!B89</f>
        <v>10000</v>
      </c>
      <c r="D26" s="65"/>
      <c r="E26" s="210"/>
    </row>
    <row r="27" spans="2:11">
      <c r="B27" s="207" t="s">
        <v>298</v>
      </c>
      <c r="C27" s="224">
        <f>C19</f>
        <v>1</v>
      </c>
      <c r="D27" s="65"/>
      <c r="E27" s="210"/>
    </row>
    <row r="28" spans="2:11" ht="13.5" thickBot="1">
      <c r="B28" s="214" t="s">
        <v>59</v>
      </c>
      <c r="C28" s="225">
        <f>IF(C24&gt;0,ROUND((C24/C26*C25)*C27,2),0)</f>
        <v>32.119999999999997</v>
      </c>
      <c r="D28" s="65"/>
      <c r="E28" s="205"/>
    </row>
    <row r="29" spans="2:11" ht="13.5" thickTop="1">
      <c r="B29" s="207"/>
      <c r="C29" s="208"/>
      <c r="D29" s="211"/>
      <c r="E29" s="210"/>
    </row>
    <row r="30" spans="2:11">
      <c r="B30" s="206" t="s">
        <v>286</v>
      </c>
      <c r="C30" s="211"/>
      <c r="D30" s="65"/>
      <c r="E30" s="210"/>
    </row>
    <row r="31" spans="2:11">
      <c r="B31" s="207" t="s">
        <v>287</v>
      </c>
      <c r="C31" s="224">
        <f>IF('ENTRADA DE DADOS'!B79="Próprio",4*'ENTRADA DE DADOS'!B90,0)</f>
        <v>3280</v>
      </c>
      <c r="D31" s="65"/>
      <c r="E31" s="210"/>
    </row>
    <row r="32" spans="2:11">
      <c r="B32" s="337" t="s">
        <v>288</v>
      </c>
      <c r="C32" s="224">
        <f>C8</f>
        <v>1680</v>
      </c>
      <c r="D32" s="65"/>
      <c r="E32" s="210"/>
    </row>
    <row r="33" spans="2:5">
      <c r="B33" s="337" t="s">
        <v>289</v>
      </c>
      <c r="C33" s="224">
        <f>'ENTRADA DE DADOS'!B91</f>
        <v>40000</v>
      </c>
      <c r="D33" s="65"/>
      <c r="E33" s="210"/>
    </row>
    <row r="34" spans="2:5">
      <c r="B34" s="207" t="s">
        <v>298</v>
      </c>
      <c r="C34" s="224">
        <f>C27</f>
        <v>1</v>
      </c>
      <c r="D34" s="65"/>
      <c r="E34" s="210"/>
    </row>
    <row r="35" spans="2:5" ht="13.5" thickBot="1">
      <c r="B35" s="214" t="s">
        <v>59</v>
      </c>
      <c r="C35" s="225">
        <f>IF(C31&gt;0,ROUND((C31/C33*C32)*C34,2),0)</f>
        <v>137.76</v>
      </c>
      <c r="D35" s="65"/>
      <c r="E35" s="205"/>
    </row>
    <row r="36" spans="2:5" ht="13.5" thickTop="1">
      <c r="B36" s="207"/>
      <c r="C36" s="208"/>
      <c r="D36" s="211"/>
      <c r="E36" s="210"/>
    </row>
    <row r="37" spans="2:5">
      <c r="B37" s="206" t="s">
        <v>66</v>
      </c>
      <c r="C37" s="208"/>
      <c r="D37" s="211"/>
      <c r="E37" s="210"/>
    </row>
    <row r="38" spans="2:5">
      <c r="B38" s="207" t="str">
        <f>B17</f>
        <v>Valor de aquisição</v>
      </c>
      <c r="C38" s="208">
        <f>C17</f>
        <v>130450</v>
      </c>
      <c r="D38" s="226"/>
      <c r="E38" s="202"/>
    </row>
    <row r="39" spans="2:5">
      <c r="B39" s="207" t="s">
        <v>74</v>
      </c>
      <c r="C39" s="227">
        <f>C38*'ENTRADA DE DADOS'!B92</f>
        <v>3913.5</v>
      </c>
      <c r="D39" s="226" t="s">
        <v>73</v>
      </c>
      <c r="E39" s="202"/>
    </row>
    <row r="40" spans="2:5">
      <c r="B40" s="207" t="s">
        <v>297</v>
      </c>
      <c r="C40" s="227">
        <f>IF('ENTRADA DE DADOS'!B79="Próprio",'ENTRADA DE DADOS'!B93,0)</f>
        <v>187</v>
      </c>
      <c r="D40" s="226"/>
      <c r="E40" s="202"/>
    </row>
    <row r="41" spans="2:5">
      <c r="B41" s="207" t="s">
        <v>111</v>
      </c>
      <c r="C41" s="227">
        <f>IF('ENTRADA DE DADOS'!B79="Próprio",'ENTRADA DE DADOS'!B94,0)</f>
        <v>0</v>
      </c>
      <c r="D41" s="226"/>
      <c r="E41" s="202"/>
    </row>
    <row r="42" spans="2:5">
      <c r="B42" s="207" t="s">
        <v>63</v>
      </c>
      <c r="C42" s="208">
        <f>C4</f>
        <v>1</v>
      </c>
      <c r="D42" s="220"/>
      <c r="E42" s="202"/>
    </row>
    <row r="43" spans="2:5">
      <c r="B43" s="337" t="s">
        <v>300</v>
      </c>
      <c r="C43" s="219">
        <f>'ENTRADA DE DADOS'!B81</f>
        <v>1.45</v>
      </c>
      <c r="D43" s="220"/>
      <c r="E43" s="202"/>
    </row>
    <row r="44" spans="2:5">
      <c r="B44" s="207" t="s">
        <v>67</v>
      </c>
      <c r="C44" s="227">
        <f>ROUND((C39+C40+C41)*C42*C43,2)</f>
        <v>5945.73</v>
      </c>
      <c r="D44" s="226"/>
      <c r="E44" s="202"/>
    </row>
    <row r="45" spans="2:5" ht="13.5" thickBot="1">
      <c r="B45" s="214" t="s">
        <v>59</v>
      </c>
      <c r="C45" s="225">
        <f>ROUND(C44/12,2)</f>
        <v>495.48</v>
      </c>
      <c r="D45" s="222"/>
      <c r="E45" s="202"/>
    </row>
    <row r="46" spans="2:5" ht="13.5" thickTop="1">
      <c r="B46" s="207"/>
      <c r="C46" s="208"/>
      <c r="D46" s="211"/>
      <c r="E46" s="210"/>
    </row>
    <row r="47" spans="2:5">
      <c r="B47" s="206" t="s">
        <v>68</v>
      </c>
      <c r="C47" s="208"/>
      <c r="D47" s="211"/>
      <c r="E47" s="210"/>
    </row>
    <row r="48" spans="2:5">
      <c r="B48" s="207" t="str">
        <f>B38</f>
        <v>Valor de aquisição</v>
      </c>
      <c r="C48" s="208">
        <f>C38</f>
        <v>130450</v>
      </c>
      <c r="D48" s="208"/>
      <c r="E48" s="202"/>
    </row>
    <row r="49" spans="2:13">
      <c r="B49" s="207" t="s">
        <v>63</v>
      </c>
      <c r="C49" s="208">
        <f>C4</f>
        <v>1</v>
      </c>
      <c r="D49" s="208"/>
      <c r="E49" s="202"/>
    </row>
    <row r="50" spans="2:13">
      <c r="B50" s="207" t="s">
        <v>69</v>
      </c>
      <c r="C50" s="228">
        <v>0.2</v>
      </c>
      <c r="D50" s="229"/>
      <c r="E50" s="202"/>
    </row>
    <row r="51" spans="2:13">
      <c r="B51" s="207" t="s">
        <v>70</v>
      </c>
      <c r="C51" s="208">
        <v>60</v>
      </c>
      <c r="D51" s="208"/>
      <c r="E51" s="202"/>
    </row>
    <row r="52" spans="2:13">
      <c r="B52" s="207" t="s">
        <v>298</v>
      </c>
      <c r="C52" s="224">
        <f>C34</f>
        <v>1</v>
      </c>
      <c r="D52" s="208"/>
      <c r="E52" s="202"/>
    </row>
    <row r="53" spans="2:13">
      <c r="B53" s="337" t="s">
        <v>300</v>
      </c>
      <c r="C53" s="219">
        <f>C43</f>
        <v>1.45</v>
      </c>
      <c r="D53" s="208"/>
      <c r="E53" s="202"/>
    </row>
    <row r="54" spans="2:13" ht="13.5" thickBot="1">
      <c r="B54" s="214" t="s">
        <v>59</v>
      </c>
      <c r="C54" s="225">
        <f>((C48/C51)*(1-C50)*C49)*C52*C53</f>
        <v>2522.0333333333333</v>
      </c>
      <c r="D54" s="65"/>
      <c r="E54" s="202"/>
    </row>
    <row r="55" spans="2:13" ht="13.5" thickTop="1">
      <c r="B55" s="207"/>
      <c r="C55" s="208"/>
      <c r="D55" s="211"/>
      <c r="E55" s="210"/>
    </row>
    <row r="56" spans="2:13" s="232" customFormat="1" ht="13.5" thickBot="1">
      <c r="B56" s="818" t="s">
        <v>171</v>
      </c>
      <c r="C56" s="386">
        <f>Insumos!E13</f>
        <v>0</v>
      </c>
      <c r="D56" s="230"/>
      <c r="E56" s="231"/>
      <c r="G56" s="819"/>
      <c r="H56" s="819"/>
      <c r="I56" s="819"/>
      <c r="J56" s="819"/>
      <c r="K56" s="819"/>
      <c r="L56" s="819"/>
      <c r="M56" s="819"/>
    </row>
    <row r="57" spans="2:13" ht="13.5" thickBot="1">
      <c r="B57" s="233"/>
      <c r="C57" s="233"/>
      <c r="D57" s="234"/>
      <c r="E57" s="233"/>
      <c r="G57" s="820"/>
      <c r="H57" s="820"/>
      <c r="I57" s="820"/>
      <c r="J57" s="820"/>
      <c r="K57" s="820"/>
      <c r="L57" s="820"/>
      <c r="M57" s="820"/>
    </row>
    <row r="58" spans="2:13" ht="18.75" customHeight="1">
      <c r="B58" s="1143" t="s">
        <v>75</v>
      </c>
      <c r="C58" s="1144"/>
      <c r="D58" s="1144"/>
      <c r="E58" s="1145"/>
      <c r="G58" s="820"/>
      <c r="H58" s="820"/>
      <c r="I58" s="820"/>
      <c r="J58" s="820"/>
      <c r="K58" s="820"/>
      <c r="L58" s="820"/>
      <c r="M58" s="820"/>
    </row>
    <row r="59" spans="2:13" ht="25.5">
      <c r="B59" s="235" t="s">
        <v>167</v>
      </c>
      <c r="C59" s="236" t="s">
        <v>168</v>
      </c>
      <c r="D59" s="237" t="s">
        <v>169</v>
      </c>
      <c r="E59" s="238" t="s">
        <v>170</v>
      </c>
      <c r="F59" s="239"/>
      <c r="G59" s="820"/>
      <c r="H59" s="820"/>
      <c r="I59" s="820"/>
      <c r="J59" s="820"/>
      <c r="K59" s="820"/>
      <c r="L59" s="820"/>
      <c r="M59" s="820"/>
    </row>
    <row r="60" spans="2:13">
      <c r="B60" s="240" t="s">
        <v>71</v>
      </c>
      <c r="C60" s="241">
        <f>C14</f>
        <v>1896.87</v>
      </c>
      <c r="D60" s="387">
        <f>-ROUND(C60*$C$56,2)</f>
        <v>0</v>
      </c>
      <c r="E60" s="242">
        <f>SUM(C60:D60)</f>
        <v>1896.87</v>
      </c>
      <c r="F60" s="239"/>
      <c r="G60" s="820"/>
      <c r="H60" s="820"/>
      <c r="I60" s="820"/>
      <c r="J60" s="820"/>
      <c r="K60" s="820"/>
      <c r="L60" s="820"/>
      <c r="M60" s="820"/>
    </row>
    <row r="61" spans="2:13">
      <c r="B61" s="240" t="s">
        <v>72</v>
      </c>
      <c r="C61" s="241">
        <f>C21</f>
        <v>315.25</v>
      </c>
      <c r="D61" s="387">
        <f t="shared" ref="D61:D65" si="0">-ROUND(C61*$C$56,2)</f>
        <v>0</v>
      </c>
      <c r="E61" s="242">
        <f t="shared" ref="E61:E65" si="1">SUM(C61:D61)</f>
        <v>315.25</v>
      </c>
      <c r="F61" s="239"/>
      <c r="G61" s="820"/>
      <c r="H61" s="820"/>
      <c r="I61" s="820"/>
      <c r="J61" s="820"/>
      <c r="K61" s="820"/>
      <c r="L61" s="820"/>
      <c r="M61" s="820"/>
    </row>
    <row r="62" spans="2:13">
      <c r="B62" s="240" t="s">
        <v>99</v>
      </c>
      <c r="C62" s="241">
        <f>C28</f>
        <v>32.119999999999997</v>
      </c>
      <c r="D62" s="387">
        <f>-ROUND(C62*$C$56,2)</f>
        <v>0</v>
      </c>
      <c r="E62" s="242">
        <f t="shared" si="1"/>
        <v>32.119999999999997</v>
      </c>
      <c r="F62" s="239"/>
      <c r="G62" s="820"/>
      <c r="H62" s="820"/>
      <c r="I62" s="820"/>
      <c r="J62" s="820"/>
      <c r="K62" s="820"/>
      <c r="L62" s="820"/>
      <c r="M62" s="820"/>
    </row>
    <row r="63" spans="2:13">
      <c r="B63" s="338" t="s">
        <v>285</v>
      </c>
      <c r="C63" s="241">
        <f>C35</f>
        <v>137.76</v>
      </c>
      <c r="D63" s="387">
        <f t="shared" si="0"/>
        <v>0</v>
      </c>
      <c r="E63" s="242">
        <f t="shared" si="1"/>
        <v>137.76</v>
      </c>
      <c r="F63" s="239"/>
      <c r="G63" s="820"/>
      <c r="H63" s="820"/>
      <c r="I63" s="820"/>
      <c r="J63" s="820"/>
      <c r="K63" s="820"/>
      <c r="L63" s="820"/>
      <c r="M63" s="820"/>
    </row>
    <row r="64" spans="2:13">
      <c r="B64" s="243" t="s">
        <v>284</v>
      </c>
      <c r="C64" s="241">
        <f>C45</f>
        <v>495.48</v>
      </c>
      <c r="D64" s="387">
        <v>0</v>
      </c>
      <c r="E64" s="242">
        <f t="shared" si="1"/>
        <v>495.48</v>
      </c>
      <c r="F64" s="239"/>
      <c r="G64" s="820"/>
      <c r="H64" s="820"/>
      <c r="I64" s="820"/>
      <c r="J64" s="820"/>
      <c r="K64" s="820"/>
      <c r="L64" s="820"/>
      <c r="M64" s="820"/>
    </row>
    <row r="65" spans="2:13">
      <c r="B65" s="240" t="s">
        <v>44</v>
      </c>
      <c r="C65" s="241">
        <f>C54</f>
        <v>2522.0333333333333</v>
      </c>
      <c r="D65" s="387">
        <f t="shared" si="0"/>
        <v>0</v>
      </c>
      <c r="E65" s="242">
        <f t="shared" si="1"/>
        <v>2522.0333333333333</v>
      </c>
      <c r="F65" s="239"/>
      <c r="G65" s="820"/>
      <c r="H65" s="820"/>
      <c r="I65" s="820"/>
      <c r="J65" s="820"/>
      <c r="K65" s="820"/>
      <c r="L65" s="820"/>
      <c r="M65" s="820"/>
    </row>
    <row r="66" spans="2:13">
      <c r="B66" s="338" t="str">
        <f>'ENTRADA DE DADOS'!A96</f>
        <v>Outro (discriminar)</v>
      </c>
      <c r="C66" s="241">
        <f>'ENTRADA DE DADOS'!B96</f>
        <v>6522.5</v>
      </c>
      <c r="D66" s="387">
        <v>0</v>
      </c>
      <c r="E66" s="242">
        <f>SUM(C66:D66)</f>
        <v>6522.5</v>
      </c>
      <c r="F66" s="239"/>
      <c r="G66" s="820"/>
      <c r="H66" s="820"/>
      <c r="I66" s="820"/>
      <c r="J66" s="820"/>
      <c r="K66" s="820"/>
      <c r="L66" s="820"/>
      <c r="M66" s="820"/>
    </row>
    <row r="67" spans="2:13" ht="13.5" thickBot="1">
      <c r="B67" s="244" t="s">
        <v>268</v>
      </c>
      <c r="C67" s="245">
        <f>SUM(C60:C65)</f>
        <v>5399.5133333333333</v>
      </c>
      <c r="D67" s="245">
        <f>SUM(D60:D65)</f>
        <v>0</v>
      </c>
      <c r="E67" s="246">
        <f>ROUND(SUM(E60:E66),2)</f>
        <v>11922.01</v>
      </c>
      <c r="F67" s="247"/>
      <c r="G67" s="820"/>
      <c r="H67" s="820"/>
      <c r="I67" s="820"/>
      <c r="J67" s="820"/>
      <c r="K67" s="820"/>
      <c r="L67" s="820"/>
      <c r="M67" s="820"/>
    </row>
    <row r="68" spans="2:13">
      <c r="B68" s="247"/>
      <c r="C68" s="233"/>
      <c r="E68" s="233"/>
      <c r="G68" s="820"/>
      <c r="H68" s="820"/>
      <c r="I68" s="820"/>
      <c r="J68" s="820"/>
      <c r="K68" s="820"/>
      <c r="L68" s="820"/>
      <c r="M68" s="820"/>
    </row>
    <row r="69" spans="2:13">
      <c r="B69" s="233"/>
      <c r="C69" s="233"/>
      <c r="D69" s="233"/>
      <c r="E69" s="233"/>
      <c r="G69" s="820"/>
      <c r="H69" s="820"/>
      <c r="I69" s="820"/>
      <c r="J69" s="820"/>
      <c r="K69" s="820"/>
      <c r="L69" s="820"/>
      <c r="M69" s="820"/>
    </row>
  </sheetData>
  <sheetProtection password="89AB" sheet="1" objects="1" scenarios="1" formatCells="0"/>
  <protectedRanges>
    <protectedRange sqref="C56 D60:D66" name="Intervalo1"/>
  </protectedRanges>
  <mergeCells count="4">
    <mergeCell ref="B1:E1"/>
    <mergeCell ref="D17:E17"/>
    <mergeCell ref="B2:E2"/>
    <mergeCell ref="B58:E58"/>
  </mergeCells>
  <printOptions horizontalCentered="1"/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5" tint="0.59999389629810485"/>
    <pageSetUpPr fitToPage="1"/>
  </sheetPr>
  <dimension ref="A1:J31"/>
  <sheetViews>
    <sheetView showGridLines="0" zoomScale="85" zoomScaleNormal="85" zoomScaleSheetLayoutView="80" workbookViewId="0">
      <selection activeCell="G6" sqref="G6"/>
    </sheetView>
  </sheetViews>
  <sheetFormatPr defaultRowHeight="15"/>
  <cols>
    <col min="1" max="1" width="9.140625" style="2" customWidth="1"/>
    <col min="2" max="2" width="40.5703125" customWidth="1"/>
    <col min="3" max="3" width="12.5703125" style="2" customWidth="1"/>
    <col min="4" max="4" width="12.7109375" style="2" bestFit="1" customWidth="1"/>
    <col min="5" max="5" width="18.85546875" style="2" customWidth="1"/>
    <col min="6" max="6" width="22" style="327" customWidth="1"/>
    <col min="7" max="7" width="18.28515625" style="324" bestFit="1" customWidth="1"/>
    <col min="8" max="8" width="20.140625" customWidth="1"/>
    <col min="9" max="9" width="22.7109375" style="2" customWidth="1"/>
    <col min="10" max="10" width="14.7109375" style="705" bestFit="1" customWidth="1"/>
  </cols>
  <sheetData>
    <row r="1" spans="1:10" ht="9" customHeight="1" thickBot="1"/>
    <row r="2" spans="1:10" s="412" customFormat="1" ht="21.75" thickBot="1">
      <c r="A2" s="968" t="s">
        <v>105</v>
      </c>
      <c r="B2" s="969"/>
      <c r="C2" s="969"/>
      <c r="D2" s="969"/>
      <c r="E2" s="969"/>
      <c r="F2" s="969"/>
      <c r="G2" s="969"/>
      <c r="H2" s="969"/>
      <c r="I2" s="970"/>
      <c r="J2" s="706"/>
    </row>
    <row r="3" spans="1:10" s="413" customFormat="1" ht="63">
      <c r="A3" s="972" t="s">
        <v>103</v>
      </c>
      <c r="B3" s="974" t="s">
        <v>107</v>
      </c>
      <c r="C3" s="934" t="s">
        <v>102</v>
      </c>
      <c r="D3" s="935" t="s">
        <v>356</v>
      </c>
      <c r="E3" s="936" t="s">
        <v>333</v>
      </c>
      <c r="F3" s="937" t="s">
        <v>325</v>
      </c>
      <c r="G3" s="938" t="s">
        <v>332</v>
      </c>
      <c r="H3" s="934" t="s">
        <v>334</v>
      </c>
      <c r="I3" s="937" t="s">
        <v>335</v>
      </c>
      <c r="J3" s="707"/>
    </row>
    <row r="4" spans="1:10" s="413" customFormat="1" ht="16.5" thickBot="1">
      <c r="A4" s="973"/>
      <c r="B4" s="975"/>
      <c r="C4" s="939" t="s">
        <v>112</v>
      </c>
      <c r="D4" s="940" t="s">
        <v>112</v>
      </c>
      <c r="E4" s="941" t="s">
        <v>112</v>
      </c>
      <c r="F4" s="942" t="s">
        <v>112</v>
      </c>
      <c r="G4" s="943" t="s">
        <v>112</v>
      </c>
      <c r="H4" s="939" t="s">
        <v>246</v>
      </c>
      <c r="I4" s="942" t="s">
        <v>246</v>
      </c>
      <c r="J4" s="707"/>
    </row>
    <row r="5" spans="1:10" ht="41.25" customHeight="1" thickBot="1">
      <c r="A5" s="944">
        <v>1</v>
      </c>
      <c r="B5" s="945" t="s">
        <v>367</v>
      </c>
      <c r="C5" s="946"/>
      <c r="D5" s="947">
        <v>33333</v>
      </c>
      <c r="E5" s="948">
        <f>SUM(C5:D5)</f>
        <v>33333</v>
      </c>
      <c r="F5" s="949">
        <v>200000</v>
      </c>
      <c r="G5" s="950">
        <v>2.06</v>
      </c>
      <c r="H5" s="951">
        <f>E5*G5</f>
        <v>68665.98</v>
      </c>
      <c r="I5" s="952">
        <f>ROUND(H5*6,2)</f>
        <v>411995.88</v>
      </c>
    </row>
    <row r="6" spans="1:10" ht="30.75" customHeight="1" thickBot="1">
      <c r="A6" s="976" t="s">
        <v>324</v>
      </c>
      <c r="B6" s="977"/>
      <c r="C6" s="977"/>
      <c r="D6" s="977"/>
      <c r="E6" s="429">
        <f>SUM(E5:E5)</f>
        <v>33333</v>
      </c>
      <c r="F6" s="329">
        <f>SUM(F5:F5)</f>
        <v>200000</v>
      </c>
      <c r="G6" s="735"/>
      <c r="H6" s="928">
        <f>SUM(H5:H5)</f>
        <v>68665.98</v>
      </c>
      <c r="I6" s="929">
        <f>SUM(I5:I5)</f>
        <v>411995.88</v>
      </c>
    </row>
    <row r="7" spans="1:10" s="396" customFormat="1" ht="9" customHeight="1">
      <c r="B7" s="393"/>
      <c r="C7" s="394"/>
      <c r="D7" s="394"/>
      <c r="E7" s="395"/>
      <c r="F7" s="395"/>
      <c r="G7" s="394"/>
      <c r="H7" s="397"/>
      <c r="I7" s="394"/>
      <c r="J7" s="708"/>
    </row>
    <row r="8" spans="1:10" ht="20.100000000000001" customHeight="1">
      <c r="A8" s="4"/>
      <c r="B8" s="5"/>
      <c r="C8" s="6"/>
      <c r="D8" s="6"/>
      <c r="E8" s="7"/>
      <c r="F8" s="328"/>
      <c r="G8" s="325"/>
      <c r="I8" s="3"/>
    </row>
    <row r="9" spans="1:10" ht="20.100000000000001" customHeight="1">
      <c r="A9" s="4"/>
      <c r="B9" s="5"/>
      <c r="C9" s="6"/>
      <c r="D9" s="6"/>
      <c r="E9" s="7"/>
      <c r="F9" s="328"/>
      <c r="G9" s="325"/>
      <c r="I9" s="3"/>
    </row>
    <row r="10" spans="1:10" ht="20.100000000000001" customHeight="1">
      <c r="A10" s="4"/>
      <c r="B10" s="5"/>
      <c r="C10" s="6"/>
      <c r="D10" s="6"/>
      <c r="E10" s="7"/>
      <c r="F10" s="328"/>
      <c r="G10" s="325"/>
      <c r="I10" s="3"/>
    </row>
    <row r="11" spans="1:10" ht="20.100000000000001" customHeight="1">
      <c r="A11" s="4"/>
      <c r="B11" s="5"/>
      <c r="C11" s="6"/>
      <c r="D11" s="6"/>
      <c r="E11" s="7"/>
      <c r="F11" s="328"/>
      <c r="G11" s="325"/>
      <c r="I11" s="3"/>
    </row>
    <row r="12" spans="1:10" ht="20.100000000000001" customHeight="1">
      <c r="A12" s="4"/>
      <c r="B12" s="8"/>
      <c r="C12" s="6"/>
      <c r="D12" s="7"/>
      <c r="E12" s="7"/>
      <c r="F12" s="328"/>
      <c r="G12" s="325"/>
      <c r="I12" s="3"/>
    </row>
    <row r="13" spans="1:10" ht="20.100000000000001" customHeight="1">
      <c r="A13" s="4"/>
      <c r="B13" s="8"/>
      <c r="C13" s="7"/>
      <c r="D13" s="7"/>
      <c r="E13" s="7"/>
      <c r="F13" s="328"/>
      <c r="G13" s="325"/>
      <c r="I13" s="3"/>
    </row>
    <row r="14" spans="1:10" ht="20.100000000000001" customHeight="1">
      <c r="A14" s="4"/>
      <c r="B14" s="5"/>
      <c r="C14" s="6"/>
      <c r="D14" s="6"/>
      <c r="E14" s="7"/>
      <c r="F14" s="328"/>
      <c r="G14" s="325"/>
      <c r="I14" s="3"/>
    </row>
    <row r="15" spans="1:10" ht="19.5" customHeight="1">
      <c r="A15" s="4"/>
      <c r="B15" s="5"/>
      <c r="C15" s="6"/>
      <c r="D15" s="6"/>
      <c r="E15" s="7"/>
      <c r="F15" s="328"/>
      <c r="G15" s="325"/>
      <c r="I15" s="3"/>
    </row>
    <row r="16" spans="1:10" ht="20.100000000000001" customHeight="1">
      <c r="A16" s="4"/>
      <c r="B16" s="5"/>
      <c r="C16" s="6"/>
      <c r="D16" s="6"/>
      <c r="E16" s="7"/>
      <c r="F16" s="328"/>
      <c r="G16" s="325"/>
      <c r="I16" s="3"/>
    </row>
    <row r="17" spans="1:9" ht="20.100000000000001" customHeight="1">
      <c r="A17" s="4"/>
      <c r="B17" s="5"/>
      <c r="C17" s="6"/>
      <c r="D17" s="6"/>
      <c r="E17" s="7"/>
      <c r="F17" s="328"/>
      <c r="G17" s="325"/>
      <c r="I17" s="3"/>
    </row>
    <row r="18" spans="1:9" ht="20.100000000000001" customHeight="1">
      <c r="A18" s="4"/>
      <c r="B18" s="5"/>
      <c r="C18" s="6"/>
      <c r="D18" s="6"/>
      <c r="E18" s="7"/>
      <c r="F18" s="328"/>
      <c r="G18" s="325"/>
      <c r="I18" s="3"/>
    </row>
    <row r="19" spans="1:9" ht="20.100000000000001" customHeight="1">
      <c r="A19" s="4"/>
      <c r="B19" s="5"/>
      <c r="C19" s="6"/>
      <c r="D19" s="6"/>
      <c r="E19" s="7"/>
      <c r="F19" s="328"/>
      <c r="G19" s="325"/>
      <c r="I19" s="3"/>
    </row>
    <row r="20" spans="1:9" ht="20.100000000000001" customHeight="1">
      <c r="A20" s="4"/>
      <c r="B20" s="8"/>
      <c r="C20" s="6"/>
      <c r="D20" s="7"/>
      <c r="E20" s="7"/>
      <c r="F20" s="328"/>
      <c r="G20" s="325"/>
      <c r="I20" s="3"/>
    </row>
    <row r="21" spans="1:9" ht="20.100000000000001" customHeight="1">
      <c r="A21" s="4"/>
      <c r="B21" s="5"/>
      <c r="C21" s="6"/>
      <c r="D21" s="6"/>
      <c r="E21" s="7"/>
      <c r="F21" s="328"/>
      <c r="G21" s="325"/>
      <c r="I21" s="3"/>
    </row>
    <row r="22" spans="1:9" ht="20.100000000000001" customHeight="1">
      <c r="A22" s="4"/>
      <c r="B22" s="5"/>
      <c r="C22" s="6"/>
      <c r="D22" s="6"/>
      <c r="E22" s="7"/>
      <c r="F22" s="328"/>
      <c r="G22" s="325"/>
      <c r="I22" s="3"/>
    </row>
    <row r="23" spans="1:9" ht="27.75" customHeight="1">
      <c r="A23" s="4"/>
      <c r="B23" s="5"/>
      <c r="C23" s="6"/>
      <c r="D23" s="6"/>
      <c r="E23" s="7"/>
      <c r="F23" s="328"/>
      <c r="G23" s="325"/>
      <c r="I23" s="3"/>
    </row>
    <row r="24" spans="1:9" ht="20.100000000000001" customHeight="1">
      <c r="A24" s="4"/>
      <c r="B24" s="5"/>
      <c r="C24" s="6"/>
      <c r="D24" s="6"/>
      <c r="E24" s="7"/>
      <c r="F24" s="328"/>
      <c r="G24" s="325"/>
      <c r="I24" s="3"/>
    </row>
    <row r="25" spans="1:9" ht="20.100000000000001" customHeight="1">
      <c r="A25" s="4"/>
      <c r="B25" s="5"/>
      <c r="C25" s="6"/>
      <c r="D25" s="6"/>
      <c r="E25" s="7"/>
      <c r="F25" s="328"/>
      <c r="G25" s="325"/>
      <c r="I25" s="3"/>
    </row>
    <row r="26" spans="1:9" ht="20.100000000000001" customHeight="1">
      <c r="A26" s="4"/>
      <c r="B26" s="5"/>
      <c r="C26" s="6"/>
      <c r="D26" s="6"/>
      <c r="E26" s="7"/>
      <c r="F26" s="328"/>
      <c r="G26" s="325"/>
      <c r="I26" s="3"/>
    </row>
    <row r="27" spans="1:9" ht="20.100000000000001" customHeight="1">
      <c r="A27" s="4"/>
      <c r="B27" s="5"/>
      <c r="C27" s="6"/>
      <c r="D27" s="6"/>
      <c r="E27" s="7"/>
      <c r="F27" s="328"/>
      <c r="G27" s="325"/>
      <c r="I27" s="3"/>
    </row>
    <row r="28" spans="1:9" ht="20.100000000000001" customHeight="1">
      <c r="A28" s="4"/>
      <c r="B28" s="8"/>
      <c r="C28" s="6"/>
      <c r="D28" s="7"/>
      <c r="E28" s="7"/>
      <c r="F28" s="328"/>
      <c r="G28" s="325"/>
      <c r="I28" s="3"/>
    </row>
    <row r="29" spans="1:9" ht="20.100000000000001" customHeight="1">
      <c r="A29" s="971"/>
      <c r="B29" s="971"/>
      <c r="C29" s="9"/>
      <c r="D29" s="9"/>
      <c r="E29" s="9"/>
      <c r="F29" s="9"/>
      <c r="G29" s="326"/>
      <c r="I29" s="10"/>
    </row>
    <row r="30" spans="1:9">
      <c r="A30" s="11"/>
    </row>
    <row r="31" spans="1:9">
      <c r="A31" s="12"/>
      <c r="B31" s="13"/>
      <c r="C31" s="14"/>
      <c r="D31" s="14"/>
      <c r="E31" s="14"/>
      <c r="F31" s="14"/>
    </row>
  </sheetData>
  <mergeCells count="5">
    <mergeCell ref="A2:I2"/>
    <mergeCell ref="A29:B29"/>
    <mergeCell ref="A3:A4"/>
    <mergeCell ref="B3:B4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6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5" tint="0.59999389629810485"/>
    <pageSetUpPr fitToPage="1"/>
  </sheetPr>
  <dimension ref="A1:L60"/>
  <sheetViews>
    <sheetView showGridLines="0" zoomScaleNormal="100" workbookViewId="0">
      <pane ySplit="2" topLeftCell="A30" activePane="bottomLeft" state="frozen"/>
      <selection activeCell="D13" sqref="D13"/>
      <selection pane="bottomLeft" activeCell="K59" sqref="K59"/>
    </sheetView>
  </sheetViews>
  <sheetFormatPr defaultRowHeight="15"/>
  <cols>
    <col min="1" max="1" width="6.85546875" customWidth="1"/>
    <col min="2" max="2" width="30.42578125" customWidth="1"/>
    <col min="3" max="3" width="6.7109375" bestFit="1" customWidth="1"/>
    <col min="4" max="4" width="11.28515625" bestFit="1" customWidth="1"/>
    <col min="5" max="5" width="16.5703125" customWidth="1"/>
    <col min="6" max="6" width="14.140625" customWidth="1"/>
    <col min="7" max="7" width="13.28515625" bestFit="1" customWidth="1"/>
    <col min="8" max="8" width="13.28515625" customWidth="1"/>
    <col min="9" max="9" width="13.42578125" bestFit="1" customWidth="1"/>
    <col min="10" max="10" width="15.7109375" customWidth="1"/>
    <col min="11" max="11" width="15.85546875" style="273" bestFit="1" customWidth="1"/>
    <col min="12" max="12" width="6.7109375" bestFit="1" customWidth="1"/>
  </cols>
  <sheetData>
    <row r="1" spans="1:11" ht="15.75" customHeight="1">
      <c r="A1" s="1012" t="s">
        <v>100</v>
      </c>
      <c r="B1" s="1013"/>
      <c r="C1" s="1013"/>
      <c r="D1" s="1013"/>
      <c r="E1" s="1013"/>
      <c r="F1" s="1013"/>
      <c r="G1" s="1013"/>
      <c r="H1" s="1014"/>
      <c r="I1" s="1013"/>
      <c r="J1" s="1013"/>
      <c r="K1" s="1015"/>
    </row>
    <row r="2" spans="1:11" ht="9" customHeight="1" thickBot="1">
      <c r="A2" s="1016"/>
      <c r="B2" s="1017"/>
      <c r="C2" s="1017"/>
      <c r="D2" s="1017"/>
      <c r="E2" s="1017"/>
      <c r="F2" s="1017"/>
      <c r="G2" s="1017"/>
      <c r="H2" s="1018"/>
      <c r="I2" s="1017"/>
      <c r="J2" s="1017"/>
      <c r="K2" s="1019"/>
    </row>
    <row r="3" spans="1:11">
      <c r="A3" s="274"/>
      <c r="B3" s="41"/>
      <c r="C3" s="41"/>
      <c r="D3" s="41"/>
      <c r="E3" s="41"/>
      <c r="F3" s="41"/>
      <c r="G3" s="41"/>
      <c r="H3" s="41"/>
      <c r="I3" s="41"/>
      <c r="J3" s="41"/>
      <c r="K3" s="275"/>
    </row>
    <row r="4" spans="1:11">
      <c r="A4" s="1006" t="s">
        <v>12</v>
      </c>
      <c r="B4" s="1007"/>
      <c r="C4" s="1007"/>
      <c r="D4" s="1007"/>
      <c r="E4" s="1007"/>
      <c r="F4" s="1007"/>
      <c r="G4" s="1008"/>
      <c r="H4" s="1009"/>
      <c r="I4" s="1007"/>
      <c r="J4" s="1007"/>
      <c r="K4" s="1010"/>
    </row>
    <row r="5" spans="1:11" ht="45">
      <c r="A5" s="276">
        <v>1</v>
      </c>
      <c r="B5" s="277" t="s">
        <v>13</v>
      </c>
      <c r="C5" s="278" t="s">
        <v>14</v>
      </c>
      <c r="D5" s="278" t="s">
        <v>323</v>
      </c>
      <c r="E5" s="279" t="s">
        <v>265</v>
      </c>
      <c r="F5" s="280" t="s">
        <v>266</v>
      </c>
      <c r="G5" s="281" t="s">
        <v>173</v>
      </c>
      <c r="H5" s="922" t="s">
        <v>355</v>
      </c>
      <c r="I5" s="279" t="s">
        <v>316</v>
      </c>
      <c r="J5" s="279" t="s">
        <v>34</v>
      </c>
      <c r="K5" s="282" t="s">
        <v>17</v>
      </c>
    </row>
    <row r="6" spans="1:11">
      <c r="A6" s="283" t="s">
        <v>18</v>
      </c>
      <c r="B6" s="822" t="s">
        <v>20</v>
      </c>
      <c r="C6" s="284" t="s">
        <v>11</v>
      </c>
      <c r="D6" s="421">
        <f>'ENTRADA DE DADOS'!B14</f>
        <v>1.31</v>
      </c>
      <c r="E6" s="286">
        <f>'MO - Operador de roçadeira'!E18</f>
        <v>2003.45</v>
      </c>
      <c r="F6" s="287">
        <f>'MO - Operador de roçadeira'!E68</f>
        <v>1108.46</v>
      </c>
      <c r="G6" s="287">
        <f>'MO - Operador de roçadeira'!E29</f>
        <v>602.47</v>
      </c>
      <c r="H6" s="923">
        <f>'MO - Operador de roçadeira'!E69+'MO - Operador de roçadeira'!E70</f>
        <v>350.29</v>
      </c>
      <c r="I6" s="382">
        <f>SUM(E6:H6)</f>
        <v>4064.67</v>
      </c>
      <c r="J6" s="288">
        <f>I6*D6</f>
        <v>5324.7177000000001</v>
      </c>
      <c r="K6" s="289">
        <f>J6/'ENTRADA DE DADOS'!$B$5</f>
        <v>0.31948625686256865</v>
      </c>
    </row>
    <row r="7" spans="1:11">
      <c r="A7" s="283" t="s">
        <v>19</v>
      </c>
      <c r="B7" s="822" t="s">
        <v>175</v>
      </c>
      <c r="C7" s="284" t="s">
        <v>11</v>
      </c>
      <c r="D7" s="421">
        <f>'ENTRADA DE DADOS'!C14</f>
        <v>0.66</v>
      </c>
      <c r="E7" s="286">
        <f>'MO - Coletor de resíduos'!E18</f>
        <v>2833.21</v>
      </c>
      <c r="F7" s="287">
        <f>'MO - Coletor de resíduos'!E68</f>
        <v>1567.55</v>
      </c>
      <c r="G7" s="287">
        <f>'MO - Coletor de resíduos'!E29</f>
        <v>602.47</v>
      </c>
      <c r="H7" s="923">
        <f>'MO - Coletor de resíduos'!E69+'MO - Coletor de resíduos'!E70</f>
        <v>471.77</v>
      </c>
      <c r="I7" s="382">
        <f t="shared" ref="I7:I8" si="0">SUM(E7:H7)</f>
        <v>5475</v>
      </c>
      <c r="J7" s="288">
        <f>I7*D7</f>
        <v>3613.5</v>
      </c>
      <c r="K7" s="289">
        <f>J7/'ENTRADA DE DADOS'!$B$5</f>
        <v>0.21681216812168122</v>
      </c>
    </row>
    <row r="8" spans="1:11">
      <c r="A8" s="283" t="s">
        <v>21</v>
      </c>
      <c r="B8" s="822" t="s">
        <v>35</v>
      </c>
      <c r="C8" s="290" t="s">
        <v>11</v>
      </c>
      <c r="D8" s="422">
        <f>'ENTRADA DE DADOS'!D14</f>
        <v>0.33</v>
      </c>
      <c r="E8" s="286">
        <f>'MO - Motorista'!E18</f>
        <v>1986.54</v>
      </c>
      <c r="F8" s="287">
        <f>'MO - Motorista'!E68</f>
        <v>1099.1100000000001</v>
      </c>
      <c r="G8" s="287">
        <f>'MO - Motorista'!E29</f>
        <v>602.47</v>
      </c>
      <c r="H8" s="923">
        <f>'MO - Motorista'!E69+'MO - Motorista'!E70</f>
        <v>347.80999999999995</v>
      </c>
      <c r="I8" s="382">
        <f t="shared" si="0"/>
        <v>4035.93</v>
      </c>
      <c r="J8" s="288">
        <f>I8*D8</f>
        <v>1331.8569</v>
      </c>
      <c r="K8" s="289">
        <f>J8/'ENTRADA DE DADOS'!$B$5</f>
        <v>7.9912213122131218E-2</v>
      </c>
    </row>
    <row r="9" spans="1:11">
      <c r="A9" s="984" t="s">
        <v>25</v>
      </c>
      <c r="B9" s="985"/>
      <c r="C9" s="985"/>
      <c r="D9" s="985"/>
      <c r="E9" s="985"/>
      <c r="F9" s="985"/>
      <c r="G9" s="987"/>
      <c r="H9" s="924"/>
      <c r="I9" s="291">
        <f>SUM(I6:I8)</f>
        <v>13575.6</v>
      </c>
      <c r="J9" s="291">
        <f>SUM(J6:J8)</f>
        <v>10270.074600000002</v>
      </c>
      <c r="K9" s="292">
        <f>SUM(K6:K8)</f>
        <v>0.6162106381063811</v>
      </c>
    </row>
    <row r="10" spans="1:11" ht="7.5" customHeight="1">
      <c r="A10" s="274"/>
      <c r="B10" s="41"/>
      <c r="C10" s="41"/>
      <c r="D10" s="41"/>
      <c r="E10" s="41"/>
      <c r="F10" s="41"/>
      <c r="G10" s="41"/>
      <c r="H10" s="41"/>
      <c r="I10" s="41"/>
      <c r="J10" s="41"/>
      <c r="K10" s="275"/>
    </row>
    <row r="11" spans="1:11">
      <c r="A11" s="1020" t="s">
        <v>305</v>
      </c>
      <c r="B11" s="1021"/>
      <c r="C11" s="1021"/>
      <c r="D11" s="1021"/>
      <c r="E11" s="1021"/>
      <c r="F11" s="1021"/>
      <c r="G11" s="1021"/>
      <c r="H11" s="1022"/>
      <c r="I11" s="1021"/>
      <c r="J11" s="1021"/>
      <c r="K11" s="1023"/>
    </row>
    <row r="12" spans="1:11">
      <c r="A12" s="276">
        <v>1</v>
      </c>
      <c r="B12" s="988" t="s">
        <v>13</v>
      </c>
      <c r="C12" s="989"/>
      <c r="D12" s="989"/>
      <c r="E12" s="989"/>
      <c r="F12" s="990"/>
      <c r="G12" s="278" t="s">
        <v>14</v>
      </c>
      <c r="H12" s="278" t="s">
        <v>323</v>
      </c>
      <c r="I12" s="293" t="s">
        <v>165</v>
      </c>
      <c r="J12" s="293" t="s">
        <v>16</v>
      </c>
      <c r="K12" s="294" t="s">
        <v>17</v>
      </c>
    </row>
    <row r="13" spans="1:11">
      <c r="A13" s="283" t="s">
        <v>18</v>
      </c>
      <c r="B13" s="994" t="s">
        <v>20</v>
      </c>
      <c r="C13" s="995"/>
      <c r="D13" s="995"/>
      <c r="E13" s="995"/>
      <c r="F13" s="996"/>
      <c r="G13" s="284" t="s">
        <v>11</v>
      </c>
      <c r="H13" s="421">
        <f>D6</f>
        <v>1.31</v>
      </c>
      <c r="I13" s="286">
        <f>'Uniformes e EPIs'!E21+'Uniformes e EPIs'!K21</f>
        <v>178.82999999999998</v>
      </c>
      <c r="J13" s="288">
        <f>H13*I13</f>
        <v>234.26729999999998</v>
      </c>
      <c r="K13" s="295">
        <f>J13/'ENTRADA DE DADOS'!$B$5</f>
        <v>1.4056178561785617E-2</v>
      </c>
    </row>
    <row r="14" spans="1:11">
      <c r="A14" s="283" t="s">
        <v>19</v>
      </c>
      <c r="B14" s="994" t="s">
        <v>175</v>
      </c>
      <c r="C14" s="995"/>
      <c r="D14" s="995"/>
      <c r="E14" s="995"/>
      <c r="F14" s="996"/>
      <c r="G14" s="284" t="s">
        <v>11</v>
      </c>
      <c r="H14" s="421">
        <f>D7</f>
        <v>0.66</v>
      </c>
      <c r="I14" s="286">
        <f>'Uniformes e EPIs'!E42+'Uniformes e EPIs'!K42</f>
        <v>329.48</v>
      </c>
      <c r="J14" s="288">
        <f>H14*I14</f>
        <v>217.45680000000002</v>
      </c>
      <c r="K14" s="295">
        <f>J14/'ENTRADA DE DADOS'!$B$5</f>
        <v>1.3047538475384755E-2</v>
      </c>
    </row>
    <row r="15" spans="1:11">
      <c r="A15" s="283" t="s">
        <v>21</v>
      </c>
      <c r="B15" s="994" t="s">
        <v>35</v>
      </c>
      <c r="C15" s="995"/>
      <c r="D15" s="995"/>
      <c r="E15" s="995"/>
      <c r="F15" s="996"/>
      <c r="G15" s="290" t="s">
        <v>11</v>
      </c>
      <c r="H15" s="422">
        <f>D8</f>
        <v>0.33</v>
      </c>
      <c r="I15" s="286">
        <f>'Uniformes e EPIs'!E63+'Uniformes e EPIs'!K63</f>
        <v>128.74</v>
      </c>
      <c r="J15" s="288">
        <f>H15*I15</f>
        <v>42.484200000000008</v>
      </c>
      <c r="K15" s="295">
        <f>J15/'ENTRADA DE DADOS'!$B$5</f>
        <v>2.5490774907749084E-3</v>
      </c>
    </row>
    <row r="16" spans="1:11">
      <c r="A16" s="984" t="s">
        <v>25</v>
      </c>
      <c r="B16" s="985"/>
      <c r="C16" s="985"/>
      <c r="D16" s="985"/>
      <c r="E16" s="985"/>
      <c r="F16" s="985"/>
      <c r="G16" s="985"/>
      <c r="H16" s="986"/>
      <c r="I16" s="987"/>
      <c r="J16" s="298">
        <f>SUM(J13:J15)</f>
        <v>494.20830000000001</v>
      </c>
      <c r="K16" s="299">
        <f>SUM(K13:K15)</f>
        <v>2.9652794527945277E-2</v>
      </c>
    </row>
    <row r="17" spans="1:12" ht="5.25" customHeight="1">
      <c r="A17" s="300"/>
      <c r="B17" s="301"/>
      <c r="C17" s="301"/>
      <c r="D17" s="301"/>
      <c r="E17" s="301"/>
      <c r="F17" s="301"/>
      <c r="G17" s="21"/>
      <c r="H17" s="925"/>
      <c r="I17" s="41"/>
      <c r="J17" s="41"/>
      <c r="K17" s="275"/>
    </row>
    <row r="18" spans="1:12">
      <c r="A18" s="1020" t="s">
        <v>277</v>
      </c>
      <c r="B18" s="1021"/>
      <c r="C18" s="1021"/>
      <c r="D18" s="1024"/>
      <c r="E18" s="1024"/>
      <c r="F18" s="1024"/>
      <c r="G18" s="1024"/>
      <c r="H18" s="1025"/>
      <c r="I18" s="1024"/>
      <c r="J18" s="1021"/>
      <c r="K18" s="1023"/>
    </row>
    <row r="19" spans="1:12">
      <c r="A19" s="276">
        <v>1</v>
      </c>
      <c r="B19" s="999" t="s">
        <v>26</v>
      </c>
      <c r="C19" s="1000"/>
      <c r="D19" s="1000"/>
      <c r="E19" s="1000"/>
      <c r="F19" s="1000"/>
      <c r="G19" s="1000"/>
      <c r="H19" s="989"/>
      <c r="I19" s="1001"/>
      <c r="J19" s="297" t="s">
        <v>108</v>
      </c>
      <c r="K19" s="294" t="s">
        <v>17</v>
      </c>
      <c r="L19" s="18"/>
    </row>
    <row r="20" spans="1:12">
      <c r="A20" s="283" t="s">
        <v>18</v>
      </c>
      <c r="B20" s="1002" t="str">
        <f>'ENTRADA DE DADOS'!A100</f>
        <v xml:space="preserve">FIO DE NYLON QUADRADO, 3mm, 2KG - PARA ROÇADEIRA </v>
      </c>
      <c r="C20" s="1003"/>
      <c r="D20" s="1003"/>
      <c r="E20" s="1003"/>
      <c r="F20" s="1003"/>
      <c r="G20" s="1003"/>
      <c r="H20" s="1004"/>
      <c r="I20" s="1005"/>
      <c r="J20" s="272">
        <f>Insumos!G4</f>
        <v>17.61</v>
      </c>
      <c r="K20" s="295">
        <f>J20/'ENTRADA DE DADOS'!$B$5</f>
        <v>1.056610566105661E-3</v>
      </c>
      <c r="L20" s="19"/>
    </row>
    <row r="21" spans="1:12" ht="15" customHeight="1">
      <c r="A21" s="283" t="s">
        <v>19</v>
      </c>
      <c r="B21" s="1002" t="str">
        <f>'ENTRADA DE DADOS'!A101</f>
        <v>GASOLINA (ROÇADEIRA E SOPRADOR DE FOLHAS)</v>
      </c>
      <c r="C21" s="1003"/>
      <c r="D21" s="1003"/>
      <c r="E21" s="1003"/>
      <c r="F21" s="1003"/>
      <c r="G21" s="1003"/>
      <c r="H21" s="1004"/>
      <c r="I21" s="1005"/>
      <c r="J21" s="272">
        <f>Insumos!G5</f>
        <v>717.02</v>
      </c>
      <c r="K21" s="295">
        <f>J21/'ENTRADA DE DADOS'!$B$5</f>
        <v>4.3021630216302162E-2</v>
      </c>
      <c r="L21" s="19"/>
    </row>
    <row r="22" spans="1:12">
      <c r="A22" s="283" t="s">
        <v>21</v>
      </c>
      <c r="B22" s="1002" t="str">
        <f>'ENTRADA DE DADOS'!A102</f>
        <v xml:space="preserve">SACO DE LIXO, CAPACIDADE MÍNIMA DE 100 LITROS, MICRA DE 0,006, DE COR CINZA OU PRETO </v>
      </c>
      <c r="C22" s="1003"/>
      <c r="D22" s="1003"/>
      <c r="E22" s="1003"/>
      <c r="F22" s="1003"/>
      <c r="G22" s="1003"/>
      <c r="H22" s="1004"/>
      <c r="I22" s="1005"/>
      <c r="J22" s="272">
        <f>Insumos!G6</f>
        <v>207.9</v>
      </c>
      <c r="K22" s="295">
        <f>J22/'ENTRADA DE DADOS'!$B$5</f>
        <v>1.2474124741247412E-2</v>
      </c>
      <c r="L22" s="19"/>
    </row>
    <row r="23" spans="1:12" ht="15" customHeight="1">
      <c r="A23" s="283" t="s">
        <v>22</v>
      </c>
      <c r="B23" s="1002" t="str">
        <f>'ENTRADA DE DADOS'!A103</f>
        <v>ÓLEO MOTOR 2 TEMPOS</v>
      </c>
      <c r="C23" s="1003"/>
      <c r="D23" s="1003"/>
      <c r="E23" s="1003"/>
      <c r="F23" s="1003"/>
      <c r="G23" s="1003"/>
      <c r="H23" s="1004"/>
      <c r="I23" s="1005"/>
      <c r="J23" s="272">
        <f>Insumos!G7</f>
        <v>84.06</v>
      </c>
      <c r="K23" s="295">
        <f>J23/'ENTRADA DE DADOS'!$B$5</f>
        <v>5.043650436504365E-3</v>
      </c>
      <c r="L23" s="19"/>
    </row>
    <row r="24" spans="1:12">
      <c r="A24" s="984" t="s">
        <v>25</v>
      </c>
      <c r="B24" s="985"/>
      <c r="C24" s="985"/>
      <c r="D24" s="985"/>
      <c r="E24" s="985"/>
      <c r="F24" s="985"/>
      <c r="G24" s="985"/>
      <c r="H24" s="986"/>
      <c r="I24" s="987"/>
      <c r="J24" s="293">
        <f>SUM(J20:J23)</f>
        <v>1026.5899999999999</v>
      </c>
      <c r="K24" s="296">
        <f>SUM(K20:K23)</f>
        <v>6.1596015960159602E-2</v>
      </c>
      <c r="L24" s="20"/>
    </row>
    <row r="25" spans="1:12" ht="8.25" customHeight="1">
      <c r="A25" s="274"/>
      <c r="B25" s="41"/>
      <c r="C25" s="41"/>
      <c r="D25" s="41"/>
      <c r="E25" s="41"/>
      <c r="F25" s="41"/>
      <c r="G25" s="41"/>
      <c r="H25" s="41"/>
      <c r="I25" s="41"/>
      <c r="J25" s="41"/>
      <c r="K25" s="275"/>
    </row>
    <row r="26" spans="1:12">
      <c r="A26" s="1020" t="s">
        <v>306</v>
      </c>
      <c r="B26" s="1021"/>
      <c r="C26" s="1021"/>
      <c r="D26" s="1021"/>
      <c r="E26" s="1021"/>
      <c r="F26" s="1021"/>
      <c r="G26" s="1021"/>
      <c r="H26" s="1022"/>
      <c r="I26" s="1021"/>
      <c r="J26" s="1021"/>
      <c r="K26" s="1023"/>
    </row>
    <row r="27" spans="1:12">
      <c r="A27" s="276">
        <v>1</v>
      </c>
      <c r="B27" s="400" t="s">
        <v>13</v>
      </c>
      <c r="C27" s="401"/>
      <c r="D27" s="401"/>
      <c r="E27" s="401"/>
      <c r="F27" s="401"/>
      <c r="G27" s="404"/>
      <c r="H27" s="926"/>
      <c r="I27" s="404"/>
      <c r="J27" s="293" t="s">
        <v>16</v>
      </c>
      <c r="K27" s="294" t="str">
        <f>K12</f>
        <v>PREÇO POR M2</v>
      </c>
    </row>
    <row r="28" spans="1:12">
      <c r="A28" s="283" t="s">
        <v>18</v>
      </c>
      <c r="B28" s="302" t="s">
        <v>44</v>
      </c>
      <c r="C28" s="303"/>
      <c r="D28" s="303"/>
      <c r="E28" s="303"/>
      <c r="F28" s="303"/>
      <c r="G28" s="409"/>
      <c r="H28" s="927"/>
      <c r="I28" s="410"/>
      <c r="J28" s="288">
        <f>Equipamentos!G22</f>
        <v>408.53999999999996</v>
      </c>
      <c r="K28" s="295">
        <f>J28/'ENTRADA DE DADOS'!$B$5</f>
        <v>2.4512645126451262E-2</v>
      </c>
    </row>
    <row r="29" spans="1:12">
      <c r="A29" s="283" t="s">
        <v>19</v>
      </c>
      <c r="B29" s="398" t="s">
        <v>47</v>
      </c>
      <c r="C29" s="399"/>
      <c r="D29" s="399"/>
      <c r="E29" s="399"/>
      <c r="F29" s="399"/>
      <c r="J29" s="288">
        <f>Equipamentos!F27</f>
        <v>71.349999999999994</v>
      </c>
      <c r="K29" s="295">
        <f>J29/'ENTRADA DE DADOS'!$B$5</f>
        <v>4.2810428104281036E-3</v>
      </c>
      <c r="L29" s="19"/>
    </row>
    <row r="30" spans="1:12">
      <c r="A30" s="997" t="s">
        <v>25</v>
      </c>
      <c r="B30" s="986"/>
      <c r="C30" s="986"/>
      <c r="D30" s="986"/>
      <c r="E30" s="986"/>
      <c r="F30" s="986"/>
      <c r="G30" s="986"/>
      <c r="H30" s="986"/>
      <c r="I30" s="998"/>
      <c r="J30" s="298">
        <f>SUM(J28:J29)</f>
        <v>479.89</v>
      </c>
      <c r="K30" s="299">
        <f>SUM(K28:K29)</f>
        <v>2.8793687936879364E-2</v>
      </c>
      <c r="L30" s="19"/>
    </row>
    <row r="31" spans="1:12" ht="7.5" customHeight="1">
      <c r="A31" s="304"/>
      <c r="B31" s="271"/>
      <c r="C31" s="305"/>
      <c r="D31" s="306"/>
      <c r="E31" s="307"/>
      <c r="F31" s="308"/>
      <c r="G31" s="308"/>
      <c r="H31" s="308"/>
      <c r="I31" s="309"/>
      <c r="J31" s="41"/>
      <c r="K31" s="275"/>
    </row>
    <row r="32" spans="1:12">
      <c r="A32" s="1006" t="s">
        <v>307</v>
      </c>
      <c r="B32" s="1007"/>
      <c r="C32" s="1007"/>
      <c r="D32" s="1007"/>
      <c r="E32" s="1007"/>
      <c r="F32" s="1007"/>
      <c r="G32" s="1007"/>
      <c r="H32" s="1011"/>
      <c r="I32" s="1007"/>
      <c r="J32" s="1007"/>
      <c r="K32" s="1010"/>
    </row>
    <row r="33" spans="1:12">
      <c r="A33" s="276">
        <v>1</v>
      </c>
      <c r="B33" s="988" t="s">
        <v>274</v>
      </c>
      <c r="C33" s="989"/>
      <c r="D33" s="989"/>
      <c r="E33" s="989"/>
      <c r="F33" s="990"/>
      <c r="G33" s="278" t="s">
        <v>14</v>
      </c>
      <c r="H33" s="278" t="s">
        <v>15</v>
      </c>
      <c r="I33" s="293" t="s">
        <v>48</v>
      </c>
      <c r="J33" s="293" t="s">
        <v>16</v>
      </c>
      <c r="K33" s="294" t="s">
        <v>17</v>
      </c>
    </row>
    <row r="34" spans="1:12">
      <c r="A34" s="283" t="s">
        <v>18</v>
      </c>
      <c r="B34" s="991" t="str">
        <f>'ENTRADA DE DADOS'!A79</f>
        <v>Modelo: Veículo tipo pick-up, cabine dupla, básico, 0 km.</v>
      </c>
      <c r="C34" s="992"/>
      <c r="D34" s="992"/>
      <c r="E34" s="992"/>
      <c r="F34" s="993"/>
      <c r="G34" s="284" t="s">
        <v>11</v>
      </c>
      <c r="H34" s="285">
        <f>Veículo!C4</f>
        <v>1</v>
      </c>
      <c r="I34" s="411" t="str">
        <f>'ENTRADA DE DADOS'!B79</f>
        <v>Próprio</v>
      </c>
      <c r="J34" s="382">
        <f>Veículo!E67</f>
        <v>11922.01</v>
      </c>
      <c r="K34" s="295">
        <f>J34/'ENTRADA DE DADOS'!$B$5</f>
        <v>0.71532775327753284</v>
      </c>
    </row>
    <row r="35" spans="1:12">
      <c r="A35" s="984" t="s">
        <v>25</v>
      </c>
      <c r="B35" s="985"/>
      <c r="C35" s="985"/>
      <c r="D35" s="985"/>
      <c r="E35" s="985"/>
      <c r="F35" s="985"/>
      <c r="G35" s="985"/>
      <c r="H35" s="986"/>
      <c r="I35" s="987"/>
      <c r="J35" s="293">
        <f>SUM(J34:J34)</f>
        <v>11922.01</v>
      </c>
      <c r="K35" s="296">
        <f>K34</f>
        <v>0.71532775327753284</v>
      </c>
    </row>
    <row r="36" spans="1:12" ht="9.75" customHeight="1" thickBot="1">
      <c r="A36" s="274"/>
      <c r="B36" s="41"/>
      <c r="C36" s="41"/>
      <c r="D36" s="41"/>
      <c r="E36" s="41"/>
      <c r="F36" s="41"/>
      <c r="G36" s="41"/>
      <c r="H36" s="41"/>
      <c r="I36" s="41"/>
      <c r="J36" s="41"/>
      <c r="K36" s="275"/>
    </row>
    <row r="37" spans="1:12" ht="15.75" thickBot="1">
      <c r="A37" s="978" t="s">
        <v>16</v>
      </c>
      <c r="B37" s="979"/>
      <c r="C37" s="979"/>
      <c r="D37" s="979"/>
      <c r="E37" s="979"/>
      <c r="F37" s="979"/>
      <c r="G37" s="979"/>
      <c r="H37" s="979"/>
      <c r="I37" s="980"/>
      <c r="J37" s="310">
        <f>J9+J35+J24+J16+J30</f>
        <v>24192.7729</v>
      </c>
      <c r="K37" s="311">
        <f>J37/'ENTRADA DE DADOS'!B5</f>
        <v>1.451580889808898</v>
      </c>
      <c r="L37" s="31">
        <f>K30+K16+K24+K35+K9-K37</f>
        <v>0</v>
      </c>
    </row>
    <row r="38" spans="1:12">
      <c r="A38" s="274"/>
      <c r="B38" s="41"/>
      <c r="C38" s="41"/>
      <c r="D38" s="41"/>
      <c r="E38" s="41"/>
      <c r="F38" s="41"/>
      <c r="G38" s="41"/>
      <c r="H38" s="41"/>
      <c r="I38" s="41"/>
      <c r="J38" s="41"/>
      <c r="K38" s="275"/>
    </row>
    <row r="39" spans="1:12">
      <c r="A39" s="1029" t="s">
        <v>308</v>
      </c>
      <c r="B39" s="1030"/>
      <c r="C39" s="1030"/>
      <c r="D39" s="1030"/>
      <c r="E39" s="1030"/>
      <c r="F39" s="1030"/>
      <c r="G39" s="1030"/>
      <c r="H39" s="1031"/>
      <c r="I39" s="1030"/>
      <c r="J39" s="1030"/>
      <c r="K39" s="1032"/>
    </row>
    <row r="40" spans="1:12" ht="6" customHeight="1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4"/>
    </row>
    <row r="41" spans="1:12">
      <c r="A41" s="276">
        <v>1</v>
      </c>
      <c r="B41" s="988" t="str">
        <f>'ENTRADA DE DADOS'!A158</f>
        <v>Custos e Despesas indiretas</v>
      </c>
      <c r="C41" s="989"/>
      <c r="D41" s="989"/>
      <c r="E41" s="989"/>
      <c r="F41" s="989"/>
      <c r="G41" s="989"/>
      <c r="H41" s="990"/>
      <c r="I41" s="278" t="s">
        <v>37</v>
      </c>
      <c r="J41" s="293" t="s">
        <v>16</v>
      </c>
      <c r="K41" s="294" t="s">
        <v>17</v>
      </c>
    </row>
    <row r="42" spans="1:12">
      <c r="A42" s="283" t="s">
        <v>18</v>
      </c>
      <c r="B42" s="991" t="str">
        <f>'ENTRADA DE DADOS'!A158</f>
        <v>Custos e Despesas indiretas</v>
      </c>
      <c r="C42" s="992"/>
      <c r="D42" s="992"/>
      <c r="E42" s="992"/>
      <c r="F42" s="992"/>
      <c r="G42" s="992"/>
      <c r="H42" s="993"/>
      <c r="I42" s="284">
        <f>'ENTRADA DE DADOS'!B158</f>
        <v>7.2499999999999995E-2</v>
      </c>
      <c r="J42" s="288">
        <f>ROUND(J37*I42,2)</f>
        <v>1753.98</v>
      </c>
      <c r="K42" s="295">
        <f>J42/'ENTRADA DE DADOS'!$B$5</f>
        <v>0.10523985239852399</v>
      </c>
    </row>
    <row r="43" spans="1:12">
      <c r="A43" s="984" t="s">
        <v>25</v>
      </c>
      <c r="B43" s="985"/>
      <c r="C43" s="985"/>
      <c r="D43" s="985"/>
      <c r="E43" s="985"/>
      <c r="F43" s="985"/>
      <c r="G43" s="985"/>
      <c r="H43" s="986"/>
      <c r="I43" s="987"/>
      <c r="J43" s="293">
        <f>SUM(J42:J42)</f>
        <v>1753.98</v>
      </c>
      <c r="K43" s="296">
        <f>SUM(K42:K42)</f>
        <v>0.10523985239852399</v>
      </c>
    </row>
    <row r="44" spans="1:12" ht="6.75" customHeight="1">
      <c r="A44" s="304"/>
      <c r="B44" s="270"/>
      <c r="C44" s="315"/>
      <c r="D44" s="316"/>
      <c r="E44" s="317"/>
      <c r="F44" s="317"/>
      <c r="G44" s="317"/>
      <c r="H44" s="317"/>
      <c r="I44" s="41"/>
      <c r="J44" s="41"/>
      <c r="K44" s="275"/>
    </row>
    <row r="45" spans="1:12">
      <c r="A45" s="276">
        <v>2</v>
      </c>
      <c r="B45" s="988" t="str">
        <f>'ENTRADA DE DADOS'!A159</f>
        <v>Lucro</v>
      </c>
      <c r="C45" s="989"/>
      <c r="D45" s="989"/>
      <c r="E45" s="989"/>
      <c r="F45" s="989"/>
      <c r="G45" s="990"/>
      <c r="H45" s="293" t="s">
        <v>172</v>
      </c>
      <c r="I45" s="278" t="s">
        <v>37</v>
      </c>
      <c r="J45" s="293" t="s">
        <v>16</v>
      </c>
      <c r="K45" s="294" t="s">
        <v>17</v>
      </c>
    </row>
    <row r="46" spans="1:12">
      <c r="A46" s="283" t="s">
        <v>18</v>
      </c>
      <c r="B46" s="991" t="str">
        <f>'ENTRADA DE DADOS'!A159</f>
        <v>Lucro</v>
      </c>
      <c r="C46" s="992"/>
      <c r="D46" s="992"/>
      <c r="E46" s="992"/>
      <c r="F46" s="992"/>
      <c r="G46" s="993"/>
      <c r="H46" s="286">
        <f>J37+J43</f>
        <v>25946.752899999999</v>
      </c>
      <c r="I46" s="284">
        <f>'ENTRADA DE DADOS'!B159</f>
        <v>0.14499999999999999</v>
      </c>
      <c r="J46" s="288">
        <f>ROUND(H46*I46,2)</f>
        <v>3762.28</v>
      </c>
      <c r="K46" s="295">
        <f>J46/'ENTRADA DE DADOS'!$B$5</f>
        <v>0.22573905739057393</v>
      </c>
    </row>
    <row r="47" spans="1:12">
      <c r="A47" s="984" t="s">
        <v>25</v>
      </c>
      <c r="B47" s="985"/>
      <c r="C47" s="985"/>
      <c r="D47" s="985"/>
      <c r="E47" s="985"/>
      <c r="F47" s="985"/>
      <c r="G47" s="985"/>
      <c r="H47" s="986"/>
      <c r="I47" s="987"/>
      <c r="J47" s="293">
        <f>SUM(J46)</f>
        <v>3762.28</v>
      </c>
      <c r="K47" s="296">
        <f>SUM(K46)</f>
        <v>0.22573905739057393</v>
      </c>
    </row>
    <row r="48" spans="1:12" ht="7.5" customHeight="1">
      <c r="A48" s="304"/>
      <c r="B48" s="270"/>
      <c r="C48" s="315"/>
      <c r="D48" s="316"/>
      <c r="E48" s="317"/>
      <c r="F48" s="317"/>
      <c r="G48" s="317"/>
      <c r="H48" s="317"/>
      <c r="I48" s="41"/>
      <c r="J48" s="41"/>
      <c r="K48" s="275"/>
    </row>
    <row r="49" spans="1:12">
      <c r="A49" s="276">
        <v>3</v>
      </c>
      <c r="B49" s="1026" t="s">
        <v>38</v>
      </c>
      <c r="C49" s="1027"/>
      <c r="D49" s="1027"/>
      <c r="E49" s="1027"/>
      <c r="F49" s="1027"/>
      <c r="G49" s="1027"/>
      <c r="H49" s="1028"/>
      <c r="I49" s="278" t="s">
        <v>37</v>
      </c>
      <c r="J49" s="293" t="s">
        <v>16</v>
      </c>
      <c r="K49" s="294" t="s">
        <v>16</v>
      </c>
    </row>
    <row r="50" spans="1:12">
      <c r="A50" s="283" t="s">
        <v>18</v>
      </c>
      <c r="B50" s="994" t="s">
        <v>45</v>
      </c>
      <c r="C50" s="995"/>
      <c r="D50" s="995"/>
      <c r="E50" s="995"/>
      <c r="F50" s="995"/>
      <c r="G50" s="995"/>
      <c r="H50" s="996"/>
      <c r="I50" s="284">
        <f>'ENTRADA DE DADOS'!B162</f>
        <v>0</v>
      </c>
      <c r="J50" s="288">
        <f>ROUND($J$59*I50,2)</f>
        <v>0</v>
      </c>
      <c r="K50" s="295">
        <f>J50/'ENTRADA DE DADOS'!$B$5</f>
        <v>0</v>
      </c>
    </row>
    <row r="51" spans="1:12">
      <c r="A51" s="283" t="s">
        <v>19</v>
      </c>
      <c r="B51" s="994" t="s">
        <v>46</v>
      </c>
      <c r="C51" s="995"/>
      <c r="D51" s="995"/>
      <c r="E51" s="995"/>
      <c r="F51" s="995"/>
      <c r="G51" s="995"/>
      <c r="H51" s="996"/>
      <c r="I51" s="873">
        <f>'ENTRADA DE DADOS'!B163</f>
        <v>0</v>
      </c>
      <c r="J51" s="288">
        <f>ROUND($J$59*I51,2)</f>
        <v>0</v>
      </c>
      <c r="K51" s="295">
        <f>J51/'ENTRADA DE DADOS'!$B$5</f>
        <v>0</v>
      </c>
    </row>
    <row r="52" spans="1:12">
      <c r="A52" s="283" t="s">
        <v>21</v>
      </c>
      <c r="B52" s="994" t="s">
        <v>39</v>
      </c>
      <c r="C52" s="995"/>
      <c r="D52" s="995"/>
      <c r="E52" s="995"/>
      <c r="F52" s="995"/>
      <c r="G52" s="995"/>
      <c r="H52" s="996"/>
      <c r="I52" s="873">
        <f>'ENTRADA DE DADOS'!B164</f>
        <v>0.03</v>
      </c>
      <c r="J52" s="288">
        <f>ROUND($J$59*I52,2)</f>
        <v>1032.76</v>
      </c>
      <c r="K52" s="295">
        <f>J52/'ENTRADA DE DADOS'!$B$5</f>
        <v>6.196621966219662E-2</v>
      </c>
    </row>
    <row r="53" spans="1:12">
      <c r="A53" s="318" t="s">
        <v>22</v>
      </c>
      <c r="B53" s="994" t="s">
        <v>130</v>
      </c>
      <c r="C53" s="995"/>
      <c r="D53" s="995"/>
      <c r="E53" s="995"/>
      <c r="F53" s="995"/>
      <c r="G53" s="995"/>
      <c r="H53" s="996"/>
      <c r="I53" s="873">
        <f>'ENTRADA DE DADOS'!B165</f>
        <v>0.107</v>
      </c>
      <c r="J53" s="288">
        <f>ROUND($J$59*I53,2)</f>
        <v>3683.51</v>
      </c>
      <c r="K53" s="295">
        <f>J53/'ENTRADA DE DADOS'!$B$5</f>
        <v>0.22101281012810128</v>
      </c>
    </row>
    <row r="54" spans="1:12">
      <c r="A54" s="318" t="s">
        <v>23</v>
      </c>
      <c r="B54" s="994" t="str">
        <f>'ENTRADA DE DADOS'!A166</f>
        <v>Outro (discriminar)</v>
      </c>
      <c r="C54" s="995"/>
      <c r="D54" s="995"/>
      <c r="E54" s="995"/>
      <c r="F54" s="995"/>
      <c r="G54" s="995"/>
      <c r="H54" s="996"/>
      <c r="I54" s="873">
        <f>'ENTRADA DE DADOS'!B166</f>
        <v>0</v>
      </c>
      <c r="J54" s="288">
        <f>ROUND($J$59*I54,2)</f>
        <v>0</v>
      </c>
      <c r="K54" s="295">
        <f>J54/'ENTRADA DE DADOS'!$B$5</f>
        <v>0</v>
      </c>
    </row>
    <row r="55" spans="1:12">
      <c r="A55" s="997" t="s">
        <v>25</v>
      </c>
      <c r="B55" s="986"/>
      <c r="C55" s="986"/>
      <c r="D55" s="986"/>
      <c r="E55" s="986"/>
      <c r="F55" s="986"/>
      <c r="G55" s="986"/>
      <c r="H55" s="998"/>
      <c r="I55" s="319">
        <f>SUM(I50:I54)</f>
        <v>0.13700000000000001</v>
      </c>
      <c r="J55" s="293">
        <f>SUM(J50:J54)</f>
        <v>4716.2700000000004</v>
      </c>
      <c r="K55" s="296">
        <f>SUM(K50:K54)</f>
        <v>0.28297902979029788</v>
      </c>
    </row>
    <row r="56" spans="1:12" ht="9.75" customHeight="1" thickBot="1">
      <c r="A56" s="304"/>
      <c r="B56" s="270"/>
      <c r="C56" s="315"/>
      <c r="D56" s="316"/>
      <c r="E56" s="317"/>
      <c r="F56" s="317"/>
      <c r="G56" s="317"/>
      <c r="H56" s="317"/>
      <c r="I56" s="41"/>
      <c r="J56" s="41"/>
      <c r="K56" s="275"/>
    </row>
    <row r="57" spans="1:12" ht="15.75" thickBot="1">
      <c r="A57" s="978" t="s">
        <v>40</v>
      </c>
      <c r="B57" s="979"/>
      <c r="C57" s="979"/>
      <c r="D57" s="979"/>
      <c r="E57" s="979"/>
      <c r="F57" s="979"/>
      <c r="G57" s="979"/>
      <c r="H57" s="979"/>
      <c r="I57" s="980"/>
      <c r="J57" s="310">
        <f>J55+J47+J43</f>
        <v>10232.530000000001</v>
      </c>
      <c r="K57" s="311">
        <f>J57/'ENTRADA DE DADOS'!B5</f>
        <v>0.61395793957939582</v>
      </c>
      <c r="L57" s="32">
        <f>K57-K55-K47-K43</f>
        <v>0</v>
      </c>
    </row>
    <row r="58" spans="1:12" ht="15.75" thickBot="1">
      <c r="A58" s="1"/>
      <c r="B58" s="1"/>
      <c r="C58" s="22"/>
      <c r="D58" s="23"/>
      <c r="E58" s="24"/>
      <c r="F58" s="24"/>
      <c r="G58" s="24"/>
      <c r="H58" s="24"/>
    </row>
    <row r="59" spans="1:12" ht="26.25" customHeight="1" thickBot="1">
      <c r="A59" s="981" t="s">
        <v>337</v>
      </c>
      <c r="B59" s="982"/>
      <c r="C59" s="982"/>
      <c r="D59" s="982"/>
      <c r="E59" s="982"/>
      <c r="F59" s="982"/>
      <c r="G59" s="982"/>
      <c r="H59" s="982"/>
      <c r="I59" s="983"/>
      <c r="J59" s="25">
        <f>(J37+J43+J47)/(100%-I55)</f>
        <v>34425.298841251446</v>
      </c>
      <c r="K59" s="320">
        <f>ROUND(J59/'ENTRADA DE DADOS'!B5,2)</f>
        <v>2.0699999999999998</v>
      </c>
      <c r="L59" s="32">
        <f>K59-K57-K37</f>
        <v>4.4611706117061445E-3</v>
      </c>
    </row>
    <row r="60" spans="1:12">
      <c r="J60" s="32"/>
    </row>
  </sheetData>
  <sheetProtection password="89AB" sheet="1" objects="1" scenarios="1"/>
  <protectedRanges>
    <protectedRange sqref="I50:I54 F50:F54" name="Intervalo12"/>
    <protectedRange sqref="I42 F42" name="Intervalo10"/>
    <protectedRange sqref="H13:H15" name="Intervalo7"/>
    <protectedRange sqref="D20:D23" name="Intervalo6"/>
    <protectedRange sqref="H34" name="Intervalo4"/>
    <protectedRange sqref="F6:F8" name="Intervalo2"/>
    <protectedRange sqref="E6:E8" name="Intervalo1"/>
    <protectedRange sqref="G6:H8" name="Intervalo3"/>
    <protectedRange sqref="J34" name="Intervalo5"/>
    <protectedRange sqref="I13:I15" name="Intervalo8"/>
    <protectedRange sqref="J28" name="Intervalo9"/>
    <protectedRange sqref="I46 F46" name="Intervalo11"/>
    <protectedRange sqref="D29" name="Intervalo6_1"/>
  </protectedRanges>
  <mergeCells count="39">
    <mergeCell ref="A30:I30"/>
    <mergeCell ref="B49:H49"/>
    <mergeCell ref="B50:H50"/>
    <mergeCell ref="B51:H51"/>
    <mergeCell ref="B52:H52"/>
    <mergeCell ref="A37:I37"/>
    <mergeCell ref="A39:K39"/>
    <mergeCell ref="A43:I43"/>
    <mergeCell ref="B41:H41"/>
    <mergeCell ref="B42:H42"/>
    <mergeCell ref="A4:K4"/>
    <mergeCell ref="A32:K32"/>
    <mergeCell ref="A1:K2"/>
    <mergeCell ref="A9:G9"/>
    <mergeCell ref="A35:I35"/>
    <mergeCell ref="A11:K11"/>
    <mergeCell ref="A26:K26"/>
    <mergeCell ref="A18:K18"/>
    <mergeCell ref="B12:F12"/>
    <mergeCell ref="B13:F13"/>
    <mergeCell ref="B14:F14"/>
    <mergeCell ref="B15:F15"/>
    <mergeCell ref="B33:F33"/>
    <mergeCell ref="B34:F34"/>
    <mergeCell ref="A16:I16"/>
    <mergeCell ref="A24:I24"/>
    <mergeCell ref="B19:I19"/>
    <mergeCell ref="B20:I20"/>
    <mergeCell ref="B21:I21"/>
    <mergeCell ref="B22:I22"/>
    <mergeCell ref="B23:I23"/>
    <mergeCell ref="A57:I57"/>
    <mergeCell ref="A59:I59"/>
    <mergeCell ref="A47:I47"/>
    <mergeCell ref="B45:G45"/>
    <mergeCell ref="B46:G46"/>
    <mergeCell ref="B54:H54"/>
    <mergeCell ref="A55:H55"/>
    <mergeCell ref="B53:H53"/>
  </mergeCells>
  <hyperlinks>
    <hyperlink ref="B6" location="'MO - Operador de roçadeira'!A1" display="Operador de Roçadeira"/>
    <hyperlink ref="B7" location="'MO - Coletor de resíduos'!A1" display="Coletor de resíduos vegetais"/>
    <hyperlink ref="B8" location="'MO - Motorista'!A1" display="Motorista"/>
    <hyperlink ref="A11:K11" location="'Uniformes e EPIs'!A1" display="(B) UNIFORMES e EPIs"/>
    <hyperlink ref="A18:K18" location="Insumos!A1" display="(C) INSUMOS"/>
    <hyperlink ref="A26:K26" location="Equipamentos!A1" display="(D) CUSTO COM EQUIPAMENTOS e MANUTENÇÃO"/>
    <hyperlink ref="B34:E34" location="Veículo!A1" display="Veículo!A1"/>
    <hyperlink ref="B49:G49" location="'ENTRADA DE DADOS'!A160" display="TRIBUTOS"/>
    <hyperlink ref="B46:F46" location="'ENTRADA DE DADOS'!A158" display="'ENTRADA DE DADOS'!A158"/>
    <hyperlink ref="B42:G42" location="'ENTRADA DE DADOS'!A157" display="'ENTRADA DE DADOS'!A157"/>
  </hyperlinks>
  <pageMargins left="0.31496062992125984" right="0.31496062992125984" top="0.39370078740157483" bottom="0.39370078740157483" header="0.31496062992125984" footer="0.31496062992125984"/>
  <pageSetup paperSize="9" scale="6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FFFF00"/>
    <pageSetUpPr fitToPage="1"/>
  </sheetPr>
  <dimension ref="A1:P566"/>
  <sheetViews>
    <sheetView showGridLines="0" zoomScaleNormal="100" workbookViewId="0">
      <pane ySplit="2" topLeftCell="A3" activePane="bottomLeft" state="frozen"/>
      <selection pane="bottomLeft" activeCell="E9" sqref="E9"/>
    </sheetView>
  </sheetViews>
  <sheetFormatPr defaultRowHeight="12.75" outlineLevelCol="1"/>
  <cols>
    <col min="1" max="1" width="58.28515625" style="74" customWidth="1"/>
    <col min="2" max="2" width="14.140625" style="74" customWidth="1"/>
    <col min="3" max="3" width="14.28515625" style="59" customWidth="1"/>
    <col min="4" max="4" width="15" style="59" bestFit="1" customWidth="1"/>
    <col min="5" max="5" width="13.28515625" style="59" bestFit="1" customWidth="1"/>
    <col min="6" max="6" width="12.7109375" style="59" customWidth="1"/>
    <col min="7" max="7" width="10.5703125" style="28" bestFit="1" customWidth="1"/>
    <col min="8" max="8" width="12.7109375" style="28" customWidth="1"/>
    <col min="9" max="9" width="9.85546875" style="28" bestFit="1" customWidth="1"/>
    <col min="10" max="10" width="9.140625" style="28" customWidth="1"/>
    <col min="11" max="11" width="18.42578125" style="28" hidden="1" customWidth="1" outlineLevel="1"/>
    <col min="12" max="13" width="9.140625" style="28" hidden="1" customWidth="1" outlineLevel="1"/>
    <col min="14" max="14" width="9.140625" style="28" collapsed="1"/>
    <col min="15" max="16384" width="9.140625" style="28"/>
  </cols>
  <sheetData>
    <row r="1" spans="1:13" ht="17.25" customHeight="1" thickBot="1">
      <c r="A1" s="859" t="s">
        <v>117</v>
      </c>
      <c r="B1" s="1038" t="s">
        <v>128</v>
      </c>
      <c r="C1" s="1039"/>
      <c r="G1" s="321"/>
      <c r="H1" s="322" t="s">
        <v>259</v>
      </c>
      <c r="I1" s="323">
        <v>12</v>
      </c>
    </row>
    <row r="2" spans="1:13" ht="24.75" customHeight="1">
      <c r="A2" s="860"/>
      <c r="B2" s="1040"/>
      <c r="C2" s="1041"/>
      <c r="D2" s="1058" t="str">
        <f>IF(B1="SIMPLES NACIONAL","&lt;- Informar faixa de tributação e tabela de enquadramento ao lado. 
A alíquota deve ser informada na célula B165'",IF(OR(B1="lucro real",B1="lucro presumido")," Informar alíquotas nas células B162, B163 e B164",""))</f>
        <v xml:space="preserve"> Informar alíquotas nas células B162, B163 e B164</v>
      </c>
      <c r="E2" s="1059"/>
      <c r="F2" s="1059"/>
      <c r="G2" s="1059"/>
      <c r="H2" s="1059"/>
      <c r="I2" s="1059"/>
      <c r="J2" s="1059"/>
    </row>
    <row r="3" spans="1:13" ht="6" customHeight="1" thickBot="1">
      <c r="A3" s="60"/>
      <c r="B3" s="61"/>
      <c r="C3" s="61"/>
      <c r="D3" s="61"/>
      <c r="E3" s="61"/>
      <c r="F3" s="61"/>
      <c r="G3" s="61"/>
      <c r="H3" s="61"/>
      <c r="I3" s="61"/>
      <c r="J3" s="62"/>
      <c r="K3" s="63"/>
      <c r="L3" s="62"/>
      <c r="M3" s="64"/>
    </row>
    <row r="4" spans="1:13" ht="22.5" customHeight="1" thickBot="1">
      <c r="A4" s="1052" t="s">
        <v>205</v>
      </c>
      <c r="B4" s="1053"/>
      <c r="C4" s="1053"/>
      <c r="D4" s="1054"/>
      <c r="E4" s="28"/>
      <c r="F4" s="28"/>
      <c r="J4" s="65"/>
      <c r="K4" s="66" t="s">
        <v>128</v>
      </c>
      <c r="L4" s="67" t="s">
        <v>118</v>
      </c>
      <c r="M4" s="68" t="s">
        <v>119</v>
      </c>
    </row>
    <row r="5" spans="1:13" ht="15.75" customHeight="1">
      <c r="A5" s="824" t="s">
        <v>206</v>
      </c>
      <c r="B5" s="734">
        <f>LOTE!E5/2</f>
        <v>16666.5</v>
      </c>
      <c r="C5" s="1042"/>
      <c r="D5" s="69" t="s">
        <v>209</v>
      </c>
      <c r="E5" s="28"/>
      <c r="F5" s="28"/>
      <c r="J5" s="65"/>
      <c r="K5" s="66" t="s">
        <v>129</v>
      </c>
      <c r="L5" s="67" t="s">
        <v>120</v>
      </c>
      <c r="M5" s="68" t="s">
        <v>121</v>
      </c>
    </row>
    <row r="6" spans="1:13" ht="15.75" customHeight="1">
      <c r="A6" s="70" t="s">
        <v>207</v>
      </c>
      <c r="B6" s="812">
        <v>605</v>
      </c>
      <c r="C6" s="1043"/>
      <c r="D6" s="71"/>
      <c r="E6" s="28"/>
      <c r="F6" s="28"/>
      <c r="J6" s="65"/>
      <c r="K6" s="66" t="s">
        <v>130</v>
      </c>
      <c r="L6" s="67" t="s">
        <v>122</v>
      </c>
      <c r="M6" s="68" t="s">
        <v>123</v>
      </c>
    </row>
    <row r="7" spans="1:13" ht="15.75" customHeight="1" thickBot="1">
      <c r="A7" s="381" t="s">
        <v>208</v>
      </c>
      <c r="B7" s="733">
        <f>B5/(21*B6)</f>
        <v>1.3118063754427391</v>
      </c>
      <c r="C7" s="1044"/>
      <c r="D7" s="72"/>
      <c r="E7" s="28"/>
      <c r="F7" s="28"/>
      <c r="J7" s="65"/>
      <c r="K7" s="73"/>
      <c r="L7" s="67" t="s">
        <v>124</v>
      </c>
      <c r="M7" s="68" t="s">
        <v>125</v>
      </c>
    </row>
    <row r="8" spans="1:13" ht="13.5" thickBot="1">
      <c r="K8" s="66"/>
      <c r="L8" s="67" t="s">
        <v>126</v>
      </c>
      <c r="M8" s="75" t="s">
        <v>345</v>
      </c>
    </row>
    <row r="9" spans="1:13" ht="25.5" customHeight="1" thickBot="1">
      <c r="A9" s="1052" t="s">
        <v>204</v>
      </c>
      <c r="B9" s="1053"/>
      <c r="C9" s="1053"/>
      <c r="D9" s="1054"/>
      <c r="E9" s="28"/>
      <c r="F9" s="28"/>
      <c r="K9" s="76"/>
      <c r="L9" s="77" t="s">
        <v>127</v>
      </c>
      <c r="M9" s="78"/>
    </row>
    <row r="10" spans="1:13" ht="30">
      <c r="A10" s="47" t="s">
        <v>182</v>
      </c>
      <c r="B10" s="823" t="s">
        <v>202</v>
      </c>
      <c r="C10" s="823" t="s">
        <v>203</v>
      </c>
      <c r="D10" s="910" t="s">
        <v>35</v>
      </c>
      <c r="E10" s="28"/>
      <c r="F10" s="28"/>
      <c r="K10" s="74"/>
      <c r="L10" s="27"/>
      <c r="M10" s="27"/>
    </row>
    <row r="11" spans="1:13" hidden="1">
      <c r="A11" s="911" t="s">
        <v>183</v>
      </c>
      <c r="B11" s="912"/>
      <c r="C11" s="912"/>
      <c r="D11" s="913"/>
      <c r="E11" s="28"/>
      <c r="F11" s="28"/>
      <c r="K11" s="383" t="s">
        <v>98</v>
      </c>
    </row>
    <row r="12" spans="1:13">
      <c r="A12" s="911" t="s">
        <v>184</v>
      </c>
      <c r="B12" s="914">
        <v>200</v>
      </c>
      <c r="C12" s="914">
        <v>200</v>
      </c>
      <c r="D12" s="915">
        <v>200</v>
      </c>
      <c r="E12" s="28"/>
      <c r="F12" s="28"/>
      <c r="K12" s="720" t="s">
        <v>309</v>
      </c>
    </row>
    <row r="13" spans="1:13">
      <c r="A13" s="48" t="s">
        <v>311</v>
      </c>
      <c r="B13" s="930">
        <v>21</v>
      </c>
      <c r="C13" s="930">
        <v>21</v>
      </c>
      <c r="D13" s="931">
        <v>21</v>
      </c>
      <c r="E13" s="28"/>
      <c r="F13" s="28"/>
    </row>
    <row r="14" spans="1:13">
      <c r="A14" s="916" t="s">
        <v>313</v>
      </c>
      <c r="B14" s="917">
        <f>ROUND(B7,2)</f>
        <v>1.31</v>
      </c>
      <c r="C14" s="917">
        <f>ROUND(B14/2,2)</f>
        <v>0.66</v>
      </c>
      <c r="D14" s="918">
        <f>ROUND(B14/4,2)</f>
        <v>0.33</v>
      </c>
      <c r="E14" s="28"/>
      <c r="F14" s="28"/>
    </row>
    <row r="15" spans="1:13" ht="13.5" thickBot="1">
      <c r="A15" s="919" t="s">
        <v>185</v>
      </c>
      <c r="B15" s="920" t="s">
        <v>186</v>
      </c>
      <c r="C15" s="920" t="s">
        <v>186</v>
      </c>
      <c r="D15" s="921" t="s">
        <v>186</v>
      </c>
      <c r="E15" s="28"/>
      <c r="F15" s="28"/>
    </row>
    <row r="16" spans="1:13" ht="39" customHeight="1">
      <c r="A16" s="1055" t="s">
        <v>314</v>
      </c>
      <c r="B16" s="1055"/>
      <c r="C16" s="1055"/>
      <c r="D16" s="1055"/>
      <c r="E16" s="28"/>
      <c r="F16" s="28"/>
    </row>
    <row r="17" spans="1:6" ht="13.5" thickBot="1">
      <c r="A17" s="34"/>
      <c r="B17" s="34"/>
      <c r="C17" s="34"/>
      <c r="D17" s="34"/>
      <c r="E17" s="28"/>
      <c r="F17" s="28"/>
    </row>
    <row r="18" spans="1:6" ht="26.25" thickBot="1">
      <c r="A18" s="438" t="s">
        <v>263</v>
      </c>
      <c r="B18" s="439" t="str">
        <f>CONCATENATE(B10," ",B11)</f>
        <v xml:space="preserve">Operador de roçadeira </v>
      </c>
      <c r="C18" s="439" t="str">
        <f>CONCATENATE(C10," ",C11)</f>
        <v xml:space="preserve">Coletor de Resíduos </v>
      </c>
      <c r="D18" s="440" t="str">
        <f>CONCATENATE(D10," ",D11)</f>
        <v xml:space="preserve">Motorista </v>
      </c>
      <c r="E18" s="28"/>
      <c r="F18" s="28"/>
    </row>
    <row r="19" spans="1:6">
      <c r="A19" s="441" t="s">
        <v>187</v>
      </c>
      <c r="B19" s="442">
        <v>1431.04</v>
      </c>
      <c r="C19" s="825">
        <v>1574.02</v>
      </c>
      <c r="D19" s="826">
        <v>1986.54</v>
      </c>
      <c r="E19" s="28"/>
      <c r="F19" s="28"/>
    </row>
    <row r="20" spans="1:6">
      <c r="A20" s="46" t="s">
        <v>230</v>
      </c>
      <c r="B20" s="42" t="s">
        <v>357</v>
      </c>
      <c r="C20" s="42" t="s">
        <v>357</v>
      </c>
      <c r="D20" s="724" t="s">
        <v>357</v>
      </c>
      <c r="E20" s="28"/>
      <c r="F20" s="28"/>
    </row>
    <row r="21" spans="1:6" ht="12.75" customHeight="1">
      <c r="A21" s="46" t="s">
        <v>224</v>
      </c>
      <c r="B21" s="437">
        <v>2023</v>
      </c>
      <c r="C21" s="437">
        <f>B21</f>
        <v>2023</v>
      </c>
      <c r="D21" s="725">
        <v>2023</v>
      </c>
      <c r="E21" s="28"/>
      <c r="F21" s="28"/>
    </row>
    <row r="22" spans="1:6">
      <c r="A22" s="46" t="s">
        <v>188</v>
      </c>
      <c r="B22" s="42">
        <v>1717.24</v>
      </c>
      <c r="C22" s="42">
        <v>2203.6</v>
      </c>
      <c r="D22" s="726">
        <v>1986.54</v>
      </c>
      <c r="E22" s="28"/>
      <c r="F22" s="28"/>
    </row>
    <row r="23" spans="1:6">
      <c r="A23" s="443" t="s">
        <v>338</v>
      </c>
      <c r="B23" s="444">
        <v>1</v>
      </c>
      <c r="C23" s="444">
        <v>1</v>
      </c>
      <c r="D23" s="445">
        <v>1</v>
      </c>
      <c r="E23" s="28"/>
      <c r="F23" s="28"/>
    </row>
    <row r="24" spans="1:6">
      <c r="A24" s="446" t="s">
        <v>189</v>
      </c>
      <c r="B24" s="447">
        <f>IF(B23&lt;100%,B22*B23,B22)</f>
        <v>1717.24</v>
      </c>
      <c r="C24" s="447">
        <f>IF(C23&lt;100%,C22*C23,C22)</f>
        <v>2203.6</v>
      </c>
      <c r="D24" s="448">
        <f>IF(D23&lt;100%,D22*D23,D22)</f>
        <v>1986.54</v>
      </c>
      <c r="E24" s="28"/>
      <c r="F24" s="28"/>
    </row>
    <row r="25" spans="1:6">
      <c r="A25" s="736" t="s">
        <v>264</v>
      </c>
      <c r="B25" s="737">
        <v>0.2</v>
      </c>
      <c r="C25" s="737">
        <v>0.4</v>
      </c>
      <c r="D25" s="738">
        <v>0</v>
      </c>
    </row>
    <row r="26" spans="1:6" ht="13.5" thickBot="1">
      <c r="A26" s="739" t="s">
        <v>236</v>
      </c>
      <c r="B26" s="740"/>
      <c r="C26" s="740"/>
      <c r="D26" s="741"/>
    </row>
    <row r="27" spans="1:6" ht="13.5" thickBot="1">
      <c r="A27" s="34"/>
      <c r="B27" s="34"/>
      <c r="C27" s="34"/>
      <c r="D27" s="34"/>
      <c r="E27" s="28"/>
      <c r="F27" s="28"/>
    </row>
    <row r="28" spans="1:6" ht="26.25" thickBot="1">
      <c r="A28" s="35" t="s">
        <v>190</v>
      </c>
      <c r="B28" s="36" t="str">
        <f>B18</f>
        <v xml:space="preserve">Operador de roçadeira </v>
      </c>
      <c r="C28" s="36" t="str">
        <f>C18</f>
        <v xml:space="preserve">Coletor de Resíduos </v>
      </c>
      <c r="D28" s="37" t="str">
        <f>D18</f>
        <v xml:space="preserve">Motorista </v>
      </c>
      <c r="E28" s="28"/>
      <c r="F28" s="28"/>
    </row>
    <row r="29" spans="1:6">
      <c r="A29" s="49" t="s">
        <v>191</v>
      </c>
      <c r="B29" s="50"/>
      <c r="C29" s="364">
        <f t="shared" ref="C29:D30" si="0">B29</f>
        <v>0</v>
      </c>
      <c r="D29" s="365">
        <f t="shared" si="0"/>
        <v>0</v>
      </c>
      <c r="E29" s="28"/>
      <c r="F29" s="28"/>
    </row>
    <row r="30" spans="1:6">
      <c r="A30" s="51" t="s">
        <v>192</v>
      </c>
      <c r="B30" s="366"/>
      <c r="C30" s="367">
        <f t="shared" si="0"/>
        <v>0</v>
      </c>
      <c r="D30" s="368">
        <f t="shared" si="0"/>
        <v>0</v>
      </c>
      <c r="E30" s="28"/>
      <c r="F30" s="28"/>
    </row>
    <row r="31" spans="1:6">
      <c r="A31" s="52" t="s">
        <v>193</v>
      </c>
      <c r="B31" s="369"/>
      <c r="C31" s="369"/>
      <c r="D31" s="370"/>
      <c r="E31" s="28"/>
      <c r="F31" s="28"/>
    </row>
    <row r="32" spans="1:6">
      <c r="A32" s="361" t="s">
        <v>194</v>
      </c>
      <c r="B32" s="362"/>
      <c r="C32" s="371"/>
      <c r="D32" s="372"/>
      <c r="E32" s="28"/>
      <c r="F32" s="28"/>
    </row>
    <row r="33" spans="1:11" ht="13.5" thickBot="1">
      <c r="A33" s="44" t="s">
        <v>299</v>
      </c>
      <c r="B33" s="363"/>
      <c r="C33" s="373">
        <f>B33</f>
        <v>0</v>
      </c>
      <c r="D33" s="374">
        <f>C33</f>
        <v>0</v>
      </c>
      <c r="E33" s="28"/>
      <c r="F33" s="28"/>
    </row>
    <row r="34" spans="1:11" ht="13.5" thickBot="1">
      <c r="A34" s="34"/>
      <c r="B34" s="34"/>
      <c r="C34" s="34"/>
      <c r="D34" s="34"/>
      <c r="E34" s="28"/>
      <c r="F34" s="28"/>
    </row>
    <row r="35" spans="1:11" ht="26.25" thickBot="1">
      <c r="A35" s="710" t="s">
        <v>195</v>
      </c>
      <c r="B35" s="39" t="str">
        <f>B28</f>
        <v xml:space="preserve">Operador de roçadeira </v>
      </c>
      <c r="C35" s="39" t="str">
        <f>C28</f>
        <v xml:space="preserve">Coletor de Resíduos </v>
      </c>
      <c r="D35" s="40" t="str">
        <f>D28</f>
        <v xml:space="preserve">Motorista </v>
      </c>
      <c r="E35" s="28"/>
      <c r="F35" s="28"/>
    </row>
    <row r="36" spans="1:11">
      <c r="A36" s="711" t="s">
        <v>196</v>
      </c>
      <c r="B36" s="712">
        <v>479.16</v>
      </c>
      <c r="C36" s="712">
        <f t="shared" ref="C36:D39" si="1">B36</f>
        <v>479.16</v>
      </c>
      <c r="D36" s="713">
        <f t="shared" si="1"/>
        <v>479.16</v>
      </c>
      <c r="E36" s="28"/>
      <c r="F36" s="28"/>
    </row>
    <row r="37" spans="1:11">
      <c r="A37" s="714" t="s">
        <v>197</v>
      </c>
      <c r="B37" s="715">
        <f>-B36*19%</f>
        <v>-91.040400000000005</v>
      </c>
      <c r="C37" s="715">
        <f t="shared" si="1"/>
        <v>-91.040400000000005</v>
      </c>
      <c r="D37" s="716">
        <f t="shared" si="1"/>
        <v>-91.040400000000005</v>
      </c>
      <c r="E37" s="28"/>
      <c r="F37" s="28"/>
    </row>
    <row r="38" spans="1:11">
      <c r="A38" s="45" t="s">
        <v>279</v>
      </c>
      <c r="B38" s="389">
        <f>0.5%*1270*B13</f>
        <v>133.35000000000002</v>
      </c>
      <c r="C38" s="389">
        <f t="shared" ref="C38:D38" si="2">0.5%*1270*C13</f>
        <v>133.35000000000002</v>
      </c>
      <c r="D38" s="392">
        <f t="shared" si="2"/>
        <v>133.35000000000002</v>
      </c>
      <c r="E38" s="28"/>
      <c r="F38" s="28"/>
    </row>
    <row r="39" spans="1:11">
      <c r="A39" s="45" t="s">
        <v>198</v>
      </c>
      <c r="B39" s="715">
        <v>0</v>
      </c>
      <c r="C39" s="715">
        <f t="shared" si="1"/>
        <v>0</v>
      </c>
      <c r="D39" s="716">
        <f t="shared" si="1"/>
        <v>0</v>
      </c>
      <c r="E39" s="28"/>
      <c r="F39" s="28"/>
    </row>
    <row r="40" spans="1:11" ht="13.5" thickBot="1">
      <c r="A40" s="717" t="s">
        <v>299</v>
      </c>
      <c r="B40" s="718">
        <v>0</v>
      </c>
      <c r="C40" s="718">
        <v>0</v>
      </c>
      <c r="D40" s="719">
        <v>0</v>
      </c>
      <c r="E40" s="28"/>
      <c r="F40" s="28"/>
    </row>
    <row r="41" spans="1:11" ht="13.5" thickBot="1">
      <c r="A41" s="34"/>
      <c r="B41" s="34"/>
      <c r="C41" s="34"/>
      <c r="D41" s="34"/>
      <c r="E41" s="28"/>
      <c r="F41" s="28"/>
    </row>
    <row r="42" spans="1:11" ht="26.25" thickBot="1">
      <c r="A42" s="38" t="s">
        <v>199</v>
      </c>
      <c r="B42" s="39" t="str">
        <f>B35</f>
        <v xml:space="preserve">Operador de roçadeira </v>
      </c>
      <c r="C42" s="39" t="str">
        <f>C35</f>
        <v xml:space="preserve">Coletor de Resíduos </v>
      </c>
      <c r="D42" s="40" t="str">
        <f>D35</f>
        <v xml:space="preserve">Motorista </v>
      </c>
      <c r="E42" s="28"/>
      <c r="F42" s="28"/>
    </row>
    <row r="43" spans="1:11">
      <c r="A43" s="49" t="s">
        <v>280</v>
      </c>
      <c r="B43" s="53">
        <v>62.5</v>
      </c>
      <c r="C43" s="53">
        <f t="shared" ref="C43:D44" si="3">B43</f>
        <v>62.5</v>
      </c>
      <c r="D43" s="54">
        <f t="shared" si="3"/>
        <v>62.5</v>
      </c>
      <c r="E43" s="28"/>
      <c r="F43" s="28"/>
    </row>
    <row r="44" spans="1:11">
      <c r="A44" s="55" t="s">
        <v>278</v>
      </c>
      <c r="B44" s="56">
        <v>18.5</v>
      </c>
      <c r="C44" s="390">
        <f t="shared" si="3"/>
        <v>18.5</v>
      </c>
      <c r="D44" s="391">
        <f t="shared" si="3"/>
        <v>18.5</v>
      </c>
      <c r="E44" s="28"/>
      <c r="F44" s="28"/>
    </row>
    <row r="45" spans="1:11">
      <c r="A45" s="55" t="s">
        <v>282</v>
      </c>
      <c r="B45" s="56"/>
      <c r="C45" s="56">
        <f>B45</f>
        <v>0</v>
      </c>
      <c r="D45" s="57">
        <f>C45</f>
        <v>0</v>
      </c>
      <c r="E45" s="28"/>
      <c r="F45" s="28"/>
    </row>
    <row r="46" spans="1:11" ht="13.5" thickBot="1">
      <c r="A46" s="44" t="s">
        <v>201</v>
      </c>
      <c r="B46" s="43"/>
      <c r="C46" s="43"/>
      <c r="D46" s="58"/>
      <c r="E46" s="28"/>
      <c r="F46" s="28"/>
      <c r="G46" s="65"/>
    </row>
    <row r="47" spans="1:11" ht="13.5" thickBot="1">
      <c r="A47" s="79"/>
      <c r="C47" s="74"/>
      <c r="D47" s="74"/>
      <c r="E47" s="74"/>
      <c r="F47" s="80"/>
      <c r="G47" s="80"/>
      <c r="H47" s="74"/>
      <c r="I47" s="74"/>
      <c r="J47" s="74"/>
      <c r="K47" s="74"/>
    </row>
    <row r="48" spans="1:11" ht="13.5" thickBot="1">
      <c r="A48" s="178" t="s">
        <v>211</v>
      </c>
      <c r="B48" s="861" t="str">
        <f>B1</f>
        <v>LUCRO REAL</v>
      </c>
      <c r="C48" s="74"/>
      <c r="D48" s="74"/>
      <c r="E48" s="74"/>
      <c r="F48" s="80"/>
      <c r="G48" s="80"/>
      <c r="H48" s="74"/>
      <c r="I48" s="74"/>
      <c r="J48" s="74"/>
      <c r="K48" s="74"/>
    </row>
    <row r="49" spans="1:16">
      <c r="A49" s="179" t="s">
        <v>247</v>
      </c>
      <c r="B49" s="862">
        <f>IF(OR($B$1="lucro real",$B$1="lucro presumido"),20%,20%)</f>
        <v>0.2</v>
      </c>
      <c r="C49" s="867" t="str">
        <f>IF($B$1="simples nacional","&lt;- Atentar se o percentual informado reflete o enquadramento da empresa, devendo alterá-lo, se necessário'","")</f>
        <v/>
      </c>
      <c r="D49" s="30"/>
      <c r="E49" s="30"/>
      <c r="F49" s="80"/>
      <c r="G49" s="80"/>
      <c r="H49" s="74"/>
      <c r="I49" s="74"/>
      <c r="J49" s="74"/>
      <c r="K49" s="74"/>
    </row>
    <row r="50" spans="1:16">
      <c r="A50" s="179" t="s">
        <v>260</v>
      </c>
      <c r="B50" s="862">
        <f>IF(OR($B$1="lucro real",$B$1="lucro presumido"),1.5%,0)</f>
        <v>1.4999999999999999E-2</v>
      </c>
      <c r="C50" s="874"/>
      <c r="D50" s="74"/>
      <c r="E50" s="74"/>
      <c r="F50" s="80"/>
      <c r="G50" s="80"/>
      <c r="H50" s="74"/>
      <c r="I50" s="74"/>
      <c r="J50" s="74"/>
      <c r="K50" s="74"/>
    </row>
    <row r="51" spans="1:16">
      <c r="A51" s="179" t="s">
        <v>261</v>
      </c>
      <c r="B51" s="862">
        <f>IF(OR($B$1="lucro real",$B$1="lucro presumido"),1%,0)</f>
        <v>0.01</v>
      </c>
      <c r="C51" s="874"/>
      <c r="D51" s="74"/>
      <c r="E51" s="74"/>
      <c r="F51" s="80"/>
      <c r="G51" s="80"/>
      <c r="H51" s="74"/>
      <c r="I51" s="74"/>
      <c r="J51" s="74"/>
      <c r="K51" s="74"/>
    </row>
    <row r="52" spans="1:16">
      <c r="A52" s="179" t="s">
        <v>3</v>
      </c>
      <c r="B52" s="862">
        <f>IF(OR($B$1="lucro real",$B$1="lucro presumido"),0.2%,0)</f>
        <v>2E-3</v>
      </c>
      <c r="C52" s="874"/>
      <c r="D52" s="74"/>
      <c r="E52" s="74"/>
      <c r="F52" s="80"/>
      <c r="G52" s="80"/>
      <c r="H52" s="74"/>
      <c r="I52" s="74"/>
      <c r="J52" s="74"/>
      <c r="K52" s="74"/>
    </row>
    <row r="53" spans="1:16">
      <c r="A53" s="179" t="s">
        <v>262</v>
      </c>
      <c r="B53" s="862">
        <f>IF(OR($B$1="lucro real",$B$1="lucro presumido"),2.5%,0)</f>
        <v>2.5000000000000001E-2</v>
      </c>
      <c r="C53" s="874"/>
      <c r="D53" s="74"/>
      <c r="E53" s="74"/>
      <c r="F53" s="80"/>
      <c r="G53" s="80"/>
      <c r="H53" s="74"/>
      <c r="I53" s="74"/>
      <c r="J53" s="74"/>
      <c r="K53" s="74"/>
    </row>
    <row r="54" spans="1:16">
      <c r="A54" s="179" t="s">
        <v>2</v>
      </c>
      <c r="B54" s="862">
        <f>IF(OR($B$1="lucro real",$B$1="lucro presumido"),0.6%,0)</f>
        <v>6.0000000000000001E-3</v>
      </c>
      <c r="C54" s="874"/>
      <c r="D54" s="74"/>
      <c r="E54" s="74"/>
      <c r="F54" s="80"/>
      <c r="G54" s="80"/>
      <c r="H54" s="74"/>
      <c r="I54" s="74"/>
      <c r="J54" s="74"/>
      <c r="K54" s="74"/>
    </row>
    <row r="55" spans="1:16">
      <c r="A55" s="179" t="s">
        <v>4</v>
      </c>
      <c r="B55" s="863">
        <f>IF(OR($B$1="lucro real",$B$1="lucro presumido"),B57*B58,3%)</f>
        <v>0.06</v>
      </c>
      <c r="C55" s="867" t="str">
        <f>IF($B$1="simples nacional","&lt;- Atentar se o percentual informado reflete o enquadramento da empresa, devendo alterá-lo, se necessário'","")</f>
        <v/>
      </c>
      <c r="D55" s="30"/>
      <c r="E55" s="30"/>
      <c r="F55" s="80"/>
      <c r="G55" s="80"/>
      <c r="H55" s="74"/>
      <c r="I55" s="74"/>
      <c r="J55" s="74"/>
      <c r="K55" s="74"/>
    </row>
    <row r="56" spans="1:16" ht="13.5" thickBot="1">
      <c r="A56" s="81" t="s">
        <v>5</v>
      </c>
      <c r="B56" s="864">
        <f>IF(OR($B$1="lucro real",$B$1="lucro presumido"),8%,0)</f>
        <v>0.08</v>
      </c>
      <c r="C56" s="74"/>
      <c r="D56" s="74"/>
      <c r="E56" s="74"/>
      <c r="F56" s="80"/>
      <c r="G56" s="80"/>
      <c r="H56" s="74"/>
      <c r="I56" s="74"/>
      <c r="J56" s="74"/>
      <c r="K56" s="74"/>
    </row>
    <row r="57" spans="1:16">
      <c r="A57" s="26" t="s">
        <v>115</v>
      </c>
      <c r="B57" s="865">
        <f>IF(OR($B$1="lucro real",$B$1="lucro presumido"),3%,"")</f>
        <v>0.03</v>
      </c>
      <c r="C57" s="74"/>
      <c r="D57" s="74"/>
      <c r="E57" s="74"/>
      <c r="F57" s="80"/>
      <c r="G57" s="80"/>
      <c r="H57" s="74"/>
      <c r="I57" s="74"/>
      <c r="J57" s="74"/>
      <c r="K57" s="74"/>
    </row>
    <row r="58" spans="1:16">
      <c r="A58" s="26" t="s">
        <v>116</v>
      </c>
      <c r="B58" s="866">
        <f>IF(OR($B$1="lucro real",$B$1="lucro presumido"),2,"")</f>
        <v>2</v>
      </c>
      <c r="C58" s="82"/>
      <c r="D58" s="82"/>
      <c r="E58" s="74"/>
      <c r="F58" s="80"/>
      <c r="G58" s="80"/>
      <c r="H58" s="74"/>
      <c r="I58" s="74"/>
      <c r="J58" s="74"/>
      <c r="K58" s="74"/>
    </row>
    <row r="59" spans="1:16" ht="4.5" customHeight="1" thickBot="1">
      <c r="A59" s="79"/>
      <c r="C59" s="74"/>
      <c r="D59" s="74"/>
      <c r="E59" s="74"/>
      <c r="F59" s="80"/>
      <c r="G59" s="80"/>
      <c r="H59" s="74"/>
      <c r="I59" s="74"/>
      <c r="J59" s="74"/>
      <c r="K59" s="74"/>
    </row>
    <row r="60" spans="1:16" ht="13.5" thickBot="1">
      <c r="A60" s="1064" t="s">
        <v>210</v>
      </c>
      <c r="B60" s="1036" t="s">
        <v>136</v>
      </c>
      <c r="C60" s="1036" t="s">
        <v>137</v>
      </c>
      <c r="D60" s="1045" t="str">
        <f>B42</f>
        <v xml:space="preserve">Operador de roçadeira </v>
      </c>
      <c r="E60" s="1046"/>
      <c r="F60" s="1045" t="str">
        <f>C42</f>
        <v xml:space="preserve">Coletor de Resíduos </v>
      </c>
      <c r="G60" s="1046"/>
      <c r="H60" s="1045" t="str">
        <f>D42</f>
        <v xml:space="preserve">Motorista </v>
      </c>
      <c r="I60" s="1046"/>
      <c r="J60" s="74"/>
      <c r="K60" s="74"/>
    </row>
    <row r="61" spans="1:16" ht="26.25" thickBot="1">
      <c r="A61" s="1065"/>
      <c r="B61" s="1037"/>
      <c r="C61" s="1037"/>
      <c r="D61" s="842" t="s">
        <v>138</v>
      </c>
      <c r="E61" s="842" t="s">
        <v>139</v>
      </c>
      <c r="F61" s="842" t="s">
        <v>138</v>
      </c>
      <c r="G61" s="842" t="s">
        <v>139</v>
      </c>
      <c r="H61" s="842" t="s">
        <v>138</v>
      </c>
      <c r="I61" s="842" t="s">
        <v>139</v>
      </c>
      <c r="K61" s="74"/>
      <c r="L61" s="74"/>
      <c r="M61" s="74"/>
      <c r="N61" s="74"/>
      <c r="O61" s="74"/>
      <c r="P61" s="74"/>
    </row>
    <row r="62" spans="1:16" ht="13.5" thickBot="1">
      <c r="A62" s="837" t="s">
        <v>140</v>
      </c>
      <c r="B62" s="843">
        <v>1</v>
      </c>
      <c r="C62" s="844">
        <v>1</v>
      </c>
      <c r="D62" s="832">
        <v>1</v>
      </c>
      <c r="E62" s="845">
        <f t="shared" ref="E62:E72" si="4">$B62*$C62*D62</f>
        <v>1</v>
      </c>
      <c r="F62" s="832">
        <v>1</v>
      </c>
      <c r="G62" s="845">
        <f t="shared" ref="G62:G72" si="5">$B62*$C62*F62</f>
        <v>1</v>
      </c>
      <c r="H62" s="832">
        <v>1</v>
      </c>
      <c r="I62" s="845">
        <f t="shared" ref="I62:I72" si="6">$B62*$C62*H62</f>
        <v>1</v>
      </c>
      <c r="K62" s="721" t="s">
        <v>331</v>
      </c>
      <c r="L62" s="722">
        <f>L66</f>
        <v>251</v>
      </c>
      <c r="M62" s="27"/>
      <c r="N62" s="27"/>
      <c r="O62" s="27"/>
      <c r="P62" s="27"/>
    </row>
    <row r="63" spans="1:16">
      <c r="A63" s="838" t="s">
        <v>141</v>
      </c>
      <c r="B63" s="843">
        <v>15</v>
      </c>
      <c r="C63" s="844">
        <f>$L$62/365</f>
        <v>0.68767123287671228</v>
      </c>
      <c r="D63" s="833">
        <v>9.2200000000000004E-2</v>
      </c>
      <c r="E63" s="845">
        <f t="shared" si="4"/>
        <v>0.95104931506849322</v>
      </c>
      <c r="F63" s="833">
        <v>9.2200000000000004E-2</v>
      </c>
      <c r="G63" s="845">
        <f t="shared" si="5"/>
        <v>0.95104931506849322</v>
      </c>
      <c r="H63" s="833">
        <v>9.2200000000000004E-2</v>
      </c>
      <c r="I63" s="845">
        <f t="shared" si="6"/>
        <v>0.95104931506849322</v>
      </c>
      <c r="K63" s="28" t="s">
        <v>152</v>
      </c>
      <c r="M63" s="83" t="s">
        <v>153</v>
      </c>
    </row>
    <row r="64" spans="1:16">
      <c r="A64" s="838" t="s">
        <v>142</v>
      </c>
      <c r="B64" s="843">
        <v>5</v>
      </c>
      <c r="C64" s="844">
        <f>$L$62/365</f>
        <v>0.68767123287671228</v>
      </c>
      <c r="D64" s="833">
        <v>1</v>
      </c>
      <c r="E64" s="845">
        <f t="shared" si="4"/>
        <v>3.4383561643835616</v>
      </c>
      <c r="F64" s="833">
        <v>1</v>
      </c>
      <c r="G64" s="845">
        <f t="shared" si="5"/>
        <v>3.4383561643835616</v>
      </c>
      <c r="H64" s="833">
        <v>1</v>
      </c>
      <c r="I64" s="845">
        <f t="shared" si="6"/>
        <v>3.4383561643835616</v>
      </c>
      <c r="K64" s="28" t="s">
        <v>330</v>
      </c>
    </row>
    <row r="65" spans="1:16">
      <c r="A65" s="838" t="s">
        <v>143</v>
      </c>
      <c r="B65" s="843">
        <v>2</v>
      </c>
      <c r="C65" s="844">
        <v>1</v>
      </c>
      <c r="D65" s="833">
        <v>0.13439999999999999</v>
      </c>
      <c r="E65" s="845">
        <f t="shared" si="4"/>
        <v>0.26879999999999998</v>
      </c>
      <c r="F65" s="833">
        <v>0.13439999999999999</v>
      </c>
      <c r="G65" s="845">
        <f t="shared" si="5"/>
        <v>0.26879999999999998</v>
      </c>
      <c r="H65" s="833">
        <v>0.13439999999999999</v>
      </c>
      <c r="I65" s="845">
        <f t="shared" si="6"/>
        <v>0.26879999999999998</v>
      </c>
      <c r="K65" s="29" t="s">
        <v>154</v>
      </c>
    </row>
    <row r="66" spans="1:16">
      <c r="A66" s="838" t="s">
        <v>144</v>
      </c>
      <c r="B66" s="843">
        <v>2</v>
      </c>
      <c r="C66" s="844">
        <f>$L$62/365</f>
        <v>0.68767123287671228</v>
      </c>
      <c r="D66" s="833">
        <v>3.0499999999999999E-2</v>
      </c>
      <c r="E66" s="845">
        <f t="shared" si="4"/>
        <v>4.1947945205479446E-2</v>
      </c>
      <c r="F66" s="833">
        <v>3.0499999999999999E-2</v>
      </c>
      <c r="G66" s="845">
        <f t="shared" si="5"/>
        <v>4.1947945205479446E-2</v>
      </c>
      <c r="H66" s="833">
        <v>3.0499999999999999E-2</v>
      </c>
      <c r="I66" s="845">
        <f t="shared" si="6"/>
        <v>4.1947945205479446E-2</v>
      </c>
      <c r="K66" s="27">
        <f>104+10-1+2</f>
        <v>115</v>
      </c>
      <c r="L66" s="27">
        <f>366-K66</f>
        <v>251</v>
      </c>
      <c r="M66" s="27"/>
      <c r="N66" s="27"/>
      <c r="O66" s="27"/>
      <c r="P66" s="27"/>
    </row>
    <row r="67" spans="1:16">
      <c r="A67" s="838" t="s">
        <v>145</v>
      </c>
      <c r="B67" s="843">
        <v>3</v>
      </c>
      <c r="C67" s="844">
        <v>1</v>
      </c>
      <c r="D67" s="833">
        <v>1.18E-2</v>
      </c>
      <c r="E67" s="845">
        <f t="shared" si="4"/>
        <v>3.5400000000000001E-2</v>
      </c>
      <c r="F67" s="833">
        <v>1.18E-2</v>
      </c>
      <c r="G67" s="845">
        <f t="shared" si="5"/>
        <v>3.5400000000000001E-2</v>
      </c>
      <c r="H67" s="833">
        <v>1.18E-2</v>
      </c>
      <c r="I67" s="845">
        <f t="shared" si="6"/>
        <v>3.5400000000000001E-2</v>
      </c>
      <c r="K67" s="74"/>
      <c r="L67" s="74"/>
      <c r="M67" s="74"/>
      <c r="N67" s="74"/>
      <c r="O67" s="74"/>
      <c r="P67" s="74"/>
    </row>
    <row r="68" spans="1:16">
      <c r="A68" s="838" t="s">
        <v>146</v>
      </c>
      <c r="B68" s="843">
        <v>1</v>
      </c>
      <c r="C68" s="844">
        <v>1</v>
      </c>
      <c r="D68" s="833">
        <v>0.02</v>
      </c>
      <c r="E68" s="845">
        <f t="shared" si="4"/>
        <v>0.02</v>
      </c>
      <c r="F68" s="833">
        <v>0.02</v>
      </c>
      <c r="G68" s="845">
        <f t="shared" si="5"/>
        <v>0.02</v>
      </c>
      <c r="H68" s="833">
        <v>0.02</v>
      </c>
      <c r="I68" s="845">
        <f t="shared" si="6"/>
        <v>0.02</v>
      </c>
      <c r="K68" s="74"/>
      <c r="L68" s="74"/>
      <c r="M68" s="74"/>
      <c r="N68" s="74"/>
      <c r="O68" s="74"/>
      <c r="P68" s="74"/>
    </row>
    <row r="69" spans="1:16">
      <c r="A69" s="838" t="s">
        <v>147</v>
      </c>
      <c r="B69" s="843">
        <v>1</v>
      </c>
      <c r="C69" s="844">
        <v>1</v>
      </c>
      <c r="D69" s="833">
        <v>4.0000000000000001E-3</v>
      </c>
      <c r="E69" s="845">
        <f t="shared" si="4"/>
        <v>4.0000000000000001E-3</v>
      </c>
      <c r="F69" s="833">
        <v>4.0000000000000001E-3</v>
      </c>
      <c r="G69" s="845">
        <f t="shared" si="5"/>
        <v>4.0000000000000001E-3</v>
      </c>
      <c r="H69" s="833">
        <v>4.0000000000000001E-3</v>
      </c>
      <c r="I69" s="845">
        <f t="shared" si="6"/>
        <v>4.0000000000000001E-3</v>
      </c>
      <c r="K69" s="74"/>
      <c r="L69" s="74"/>
      <c r="M69" s="74"/>
      <c r="N69" s="74"/>
      <c r="O69" s="74"/>
      <c r="P69" s="74"/>
    </row>
    <row r="70" spans="1:16">
      <c r="A70" s="838" t="s">
        <v>148</v>
      </c>
      <c r="B70" s="846">
        <v>20</v>
      </c>
      <c r="C70" s="844">
        <f>$L$62/365</f>
        <v>0.68767123287671228</v>
      </c>
      <c r="D70" s="833">
        <v>1.43E-2</v>
      </c>
      <c r="E70" s="845">
        <f t="shared" si="4"/>
        <v>0.19667397260273972</v>
      </c>
      <c r="F70" s="833">
        <v>1.43E-2</v>
      </c>
      <c r="G70" s="845">
        <f t="shared" si="5"/>
        <v>0.19667397260273972</v>
      </c>
      <c r="H70" s="833">
        <v>1.43E-2</v>
      </c>
      <c r="I70" s="845">
        <f t="shared" si="6"/>
        <v>0.19667397260273972</v>
      </c>
      <c r="J70" s="74"/>
      <c r="K70" s="74"/>
    </row>
    <row r="71" spans="1:16">
      <c r="A71" s="838" t="s">
        <v>149</v>
      </c>
      <c r="B71" s="846">
        <v>180</v>
      </c>
      <c r="C71" s="844">
        <f>$L$62/365</f>
        <v>0.68767123287671228</v>
      </c>
      <c r="D71" s="833">
        <v>1.9699999999999999E-2</v>
      </c>
      <c r="E71" s="845">
        <f t="shared" si="4"/>
        <v>2.4384821917808215</v>
      </c>
      <c r="F71" s="833">
        <v>1.9699999999999999E-2</v>
      </c>
      <c r="G71" s="845">
        <f t="shared" si="5"/>
        <v>2.4384821917808215</v>
      </c>
      <c r="H71" s="833">
        <v>1.9699999999999999E-2</v>
      </c>
      <c r="I71" s="845">
        <f t="shared" si="6"/>
        <v>2.4384821917808215</v>
      </c>
      <c r="J71" s="74"/>
      <c r="K71" s="74"/>
    </row>
    <row r="72" spans="1:16">
      <c r="A72" s="839" t="s">
        <v>150</v>
      </c>
      <c r="B72" s="847">
        <v>6</v>
      </c>
      <c r="C72" s="848">
        <v>1</v>
      </c>
      <c r="D72" s="834">
        <v>1.6000000000000001E-3</v>
      </c>
      <c r="E72" s="836">
        <f t="shared" si="4"/>
        <v>9.6000000000000009E-3</v>
      </c>
      <c r="F72" s="834">
        <v>1.6000000000000001E-3</v>
      </c>
      <c r="G72" s="836">
        <f t="shared" si="5"/>
        <v>9.6000000000000009E-3</v>
      </c>
      <c r="H72" s="834">
        <v>1.6000000000000001E-3</v>
      </c>
      <c r="I72" s="836">
        <f t="shared" si="6"/>
        <v>9.6000000000000009E-3</v>
      </c>
      <c r="J72" s="74"/>
      <c r="K72" s="74"/>
    </row>
    <row r="73" spans="1:16">
      <c r="A73" s="840" t="s">
        <v>151</v>
      </c>
      <c r="B73" s="849"/>
      <c r="C73" s="850"/>
      <c r="D73" s="851"/>
      <c r="E73" s="852">
        <f>SUM(E62:E72)</f>
        <v>8.4043095890410946</v>
      </c>
      <c r="F73" s="851"/>
      <c r="G73" s="852">
        <f>SUM(G62:G72)</f>
        <v>8.4043095890410946</v>
      </c>
      <c r="H73" s="851"/>
      <c r="I73" s="852">
        <f>SUM(I62:I72)</f>
        <v>8.4043095890410946</v>
      </c>
      <c r="J73" s="74"/>
      <c r="K73" s="74"/>
    </row>
    <row r="74" spans="1:16">
      <c r="A74" s="841" t="s">
        <v>303</v>
      </c>
      <c r="B74" s="847">
        <v>30</v>
      </c>
      <c r="C74" s="844">
        <f>$L$62/365</f>
        <v>0.68767123287671228</v>
      </c>
      <c r="D74" s="835">
        <v>1</v>
      </c>
      <c r="E74" s="836">
        <f t="shared" ref="E74" si="7">$B74*$C74*D74</f>
        <v>20.63013698630137</v>
      </c>
      <c r="F74" s="835">
        <v>1</v>
      </c>
      <c r="G74" s="836">
        <f t="shared" ref="G74" si="8">$B74*$C74*F74</f>
        <v>20.63013698630137</v>
      </c>
      <c r="H74" s="835">
        <v>1</v>
      </c>
      <c r="I74" s="836">
        <f t="shared" ref="I74" si="9">$B74*$C74*H74</f>
        <v>20.63013698630137</v>
      </c>
      <c r="J74" s="74"/>
      <c r="K74" s="74"/>
    </row>
    <row r="75" spans="1:16">
      <c r="A75" s="838" t="s">
        <v>339</v>
      </c>
      <c r="B75" s="847"/>
      <c r="C75" s="844"/>
      <c r="D75" s="856">
        <f>56.24%*5.55%</f>
        <v>3.12132E-2</v>
      </c>
      <c r="E75" s="836"/>
      <c r="F75" s="856">
        <f>D75</f>
        <v>3.12132E-2</v>
      </c>
      <c r="G75" s="836"/>
      <c r="H75" s="856">
        <f>F75</f>
        <v>3.12132E-2</v>
      </c>
      <c r="I75" s="836"/>
      <c r="J75" s="74"/>
      <c r="K75" s="74"/>
    </row>
    <row r="76" spans="1:16" ht="13.5" thickBot="1">
      <c r="A76" s="858" t="s">
        <v>340</v>
      </c>
      <c r="B76" s="853"/>
      <c r="C76" s="854"/>
      <c r="D76" s="857">
        <f>56.24%*94.45%</f>
        <v>0.53118679999999996</v>
      </c>
      <c r="E76" s="855"/>
      <c r="F76" s="857">
        <f>D76</f>
        <v>0.53118679999999996</v>
      </c>
      <c r="G76" s="855"/>
      <c r="H76" s="857">
        <f>F76</f>
        <v>0.53118679999999996</v>
      </c>
      <c r="I76" s="855"/>
      <c r="J76" s="74"/>
      <c r="K76" s="74"/>
    </row>
    <row r="77" spans="1:16" ht="13.5" thickBot="1">
      <c r="A77" s="79"/>
      <c r="C77" s="74"/>
      <c r="D77" s="74"/>
      <c r="E77" s="74"/>
      <c r="F77" s="80"/>
      <c r="G77" s="80"/>
      <c r="H77" s="74"/>
      <c r="I77" s="74"/>
      <c r="J77" s="74"/>
      <c r="K77" s="74"/>
    </row>
    <row r="78" spans="1:16" ht="24.75" customHeight="1" thickBot="1">
      <c r="A78" s="1060" t="s">
        <v>213</v>
      </c>
      <c r="B78" s="1035"/>
      <c r="C78" s="28"/>
      <c r="D78" s="28"/>
      <c r="E78" s="28"/>
      <c r="F78" s="28"/>
      <c r="G78" s="82"/>
      <c r="H78" s="74"/>
      <c r="I78" s="74"/>
      <c r="J78" s="74"/>
    </row>
    <row r="79" spans="1:16" ht="15" customHeight="1">
      <c r="A79" s="827" t="s">
        <v>214</v>
      </c>
      <c r="B79" s="828" t="s">
        <v>98</v>
      </c>
      <c r="C79" s="28"/>
      <c r="D79" s="28"/>
      <c r="E79" s="28"/>
      <c r="F79" s="28"/>
      <c r="G79" s="82"/>
      <c r="H79" s="74"/>
      <c r="I79" s="74"/>
      <c r="J79" s="74"/>
    </row>
    <row r="80" spans="1:16">
      <c r="A80" s="92" t="s">
        <v>276</v>
      </c>
      <c r="B80" s="94">
        <v>1</v>
      </c>
      <c r="C80" s="28"/>
      <c r="D80" s="28"/>
      <c r="E80" s="28"/>
      <c r="F80" s="28"/>
      <c r="G80" s="82"/>
      <c r="H80" s="74"/>
      <c r="I80" s="74"/>
      <c r="J80" s="74"/>
    </row>
    <row r="81" spans="1:13">
      <c r="A81" s="92" t="s">
        <v>315</v>
      </c>
      <c r="B81" s="94">
        <v>1.45</v>
      </c>
      <c r="C81" s="28"/>
      <c r="D81" s="28"/>
      <c r="E81" s="28"/>
      <c r="F81" s="28"/>
      <c r="G81" s="82"/>
      <c r="H81" s="74"/>
      <c r="I81" s="74"/>
      <c r="J81" s="74"/>
    </row>
    <row r="82" spans="1:13">
      <c r="A82" s="92" t="s">
        <v>113</v>
      </c>
      <c r="B82" s="94">
        <v>130450</v>
      </c>
      <c r="C82" s="28"/>
      <c r="D82" s="28"/>
      <c r="E82" s="28"/>
      <c r="F82" s="28"/>
      <c r="G82" s="82"/>
      <c r="H82" s="74"/>
      <c r="I82" s="74"/>
      <c r="J82" s="74"/>
    </row>
    <row r="83" spans="1:13" ht="13.5" thickBot="1">
      <c r="A83" s="344" t="s">
        <v>292</v>
      </c>
      <c r="B83" s="829">
        <v>1680</v>
      </c>
      <c r="C83" s="403"/>
      <c r="D83" s="28"/>
      <c r="E83" s="28"/>
      <c r="F83" s="28"/>
      <c r="G83" s="74"/>
      <c r="H83" s="74"/>
      <c r="I83" s="74"/>
      <c r="J83" s="74"/>
    </row>
    <row r="84" spans="1:13" ht="12.75" customHeight="1">
      <c r="A84" s="348" t="s">
        <v>215</v>
      </c>
      <c r="B84" s="347" t="s">
        <v>310</v>
      </c>
      <c r="C84" s="28"/>
      <c r="D84" s="28"/>
      <c r="E84" s="28"/>
      <c r="F84" s="28"/>
      <c r="G84" s="74"/>
      <c r="H84" s="74"/>
      <c r="I84" s="74"/>
      <c r="J84" s="74"/>
    </row>
    <row r="85" spans="1:13">
      <c r="A85" s="349" t="s">
        <v>180</v>
      </c>
      <c r="B85" s="932">
        <v>6.21</v>
      </c>
      <c r="C85" s="28"/>
      <c r="D85" s="28"/>
      <c r="E85" s="28"/>
      <c r="F85" s="28"/>
      <c r="G85" s="74"/>
      <c r="H85" s="74"/>
      <c r="I85" s="74"/>
      <c r="J85" s="74"/>
    </row>
    <row r="86" spans="1:13" ht="13.5" thickBot="1">
      <c r="A86" s="350" t="s">
        <v>181</v>
      </c>
      <c r="B86" s="346">
        <v>5.5</v>
      </c>
      <c r="C86" s="28"/>
      <c r="D86" s="28"/>
      <c r="E86" s="28"/>
      <c r="F86" s="28"/>
      <c r="G86" s="74"/>
      <c r="H86" s="74"/>
      <c r="I86" s="74"/>
      <c r="J86" s="74"/>
    </row>
    <row r="87" spans="1:13">
      <c r="A87" s="342" t="s">
        <v>295</v>
      </c>
      <c r="B87" s="811">
        <v>47.8</v>
      </c>
      <c r="C87" s="732"/>
      <c r="D87" s="28"/>
      <c r="E87" s="28"/>
      <c r="F87" s="28"/>
      <c r="G87" s="74"/>
      <c r="H87" s="74"/>
      <c r="I87" s="74"/>
      <c r="J87" s="74"/>
    </row>
    <row r="88" spans="1:13">
      <c r="A88" s="92" t="s">
        <v>294</v>
      </c>
      <c r="B88" s="95">
        <v>4</v>
      </c>
      <c r="C88" s="28"/>
      <c r="D88" s="28"/>
      <c r="E88" s="28"/>
      <c r="F88" s="28"/>
      <c r="G88" s="74"/>
      <c r="H88" s="74"/>
      <c r="I88" s="74"/>
      <c r="J88" s="74"/>
    </row>
    <row r="89" spans="1:13" ht="13.5" thickBot="1">
      <c r="A89" s="345" t="s">
        <v>293</v>
      </c>
      <c r="B89" s="356">
        <v>10000</v>
      </c>
      <c r="C89" s="28"/>
      <c r="D89" s="28"/>
      <c r="E89" s="28"/>
      <c r="F89" s="28"/>
      <c r="G89" s="74"/>
      <c r="H89" s="74"/>
      <c r="I89" s="74"/>
      <c r="J89" s="74"/>
    </row>
    <row r="90" spans="1:13">
      <c r="A90" s="348" t="s">
        <v>285</v>
      </c>
      <c r="B90" s="811">
        <v>820</v>
      </c>
      <c r="C90" s="28"/>
      <c r="D90" s="28"/>
      <c r="E90" s="28"/>
      <c r="F90" s="28"/>
      <c r="G90" s="74"/>
      <c r="H90" s="74"/>
      <c r="I90" s="74"/>
      <c r="J90" s="74"/>
    </row>
    <row r="91" spans="1:13" ht="13.5" thickBot="1">
      <c r="A91" s="351" t="s">
        <v>293</v>
      </c>
      <c r="B91" s="343">
        <v>40000</v>
      </c>
      <c r="C91" s="28"/>
      <c r="D91" s="28"/>
      <c r="E91" s="28"/>
      <c r="F91" s="28"/>
      <c r="G91" s="74"/>
      <c r="H91" s="74"/>
      <c r="I91" s="74"/>
      <c r="J91" s="74"/>
    </row>
    <row r="92" spans="1:13">
      <c r="A92" s="341" t="s">
        <v>178</v>
      </c>
      <c r="B92" s="377">
        <v>0.03</v>
      </c>
      <c r="C92" s="86"/>
      <c r="D92" s="86"/>
      <c r="E92" s="87"/>
      <c r="F92" s="96"/>
      <c r="G92" s="80"/>
      <c r="H92" s="74"/>
      <c r="I92" s="74"/>
      <c r="J92" s="74"/>
      <c r="K92" s="74"/>
      <c r="L92" s="27"/>
      <c r="M92" s="27"/>
    </row>
    <row r="93" spans="1:13">
      <c r="A93" s="93" t="s">
        <v>283</v>
      </c>
      <c r="B93" s="95">
        <v>187</v>
      </c>
      <c r="C93" s="336"/>
      <c r="D93" s="86"/>
      <c r="E93" s="87"/>
      <c r="F93" s="96"/>
      <c r="G93" s="80"/>
      <c r="H93" s="74"/>
      <c r="I93" s="74"/>
      <c r="J93" s="74"/>
      <c r="K93" s="74"/>
      <c r="L93" s="27"/>
      <c r="M93" s="27"/>
    </row>
    <row r="94" spans="1:13" ht="13.5" thickBot="1">
      <c r="A94" s="353" t="s">
        <v>111</v>
      </c>
      <c r="B94" s="727"/>
      <c r="C94" s="336"/>
      <c r="D94" s="86"/>
      <c r="E94" s="87"/>
      <c r="F94" s="96"/>
      <c r="G94" s="80"/>
      <c r="H94" s="74"/>
      <c r="I94" s="74"/>
      <c r="J94" s="74"/>
      <c r="K94" s="74"/>
      <c r="L94" s="27"/>
      <c r="M94" s="27"/>
    </row>
    <row r="95" spans="1:13">
      <c r="A95" s="355" t="s">
        <v>216</v>
      </c>
      <c r="B95" s="354">
        <v>0.1</v>
      </c>
      <c r="C95" s="86"/>
      <c r="D95" s="86"/>
      <c r="E95" s="87"/>
      <c r="F95" s="96"/>
      <c r="G95" s="80"/>
      <c r="H95" s="74"/>
      <c r="I95" s="74"/>
      <c r="J95" s="74"/>
      <c r="K95" s="74"/>
      <c r="L95" s="27"/>
      <c r="M95" s="27"/>
    </row>
    <row r="96" spans="1:13" ht="13.5" thickBot="1">
      <c r="A96" s="352" t="s">
        <v>275</v>
      </c>
      <c r="B96" s="269">
        <v>6522.5</v>
      </c>
      <c r="C96" s="86"/>
      <c r="D96" s="86"/>
      <c r="E96" s="87"/>
      <c r="F96" s="96"/>
      <c r="G96" s="80"/>
      <c r="H96" s="74"/>
      <c r="I96" s="74"/>
      <c r="J96" s="74"/>
      <c r="K96" s="74"/>
      <c r="L96" s="27"/>
      <c r="M96" s="27"/>
    </row>
    <row r="97" spans="1:13" ht="13.5" thickBot="1">
      <c r="A97" s="33"/>
      <c r="B97" s="84"/>
      <c r="C97" s="85"/>
      <c r="D97" s="86"/>
      <c r="E97" s="87"/>
      <c r="F97" s="96"/>
      <c r="G97" s="80"/>
      <c r="H97" s="74"/>
      <c r="I97" s="74"/>
      <c r="J97" s="74"/>
      <c r="K97" s="74"/>
      <c r="L97" s="27"/>
      <c r="M97" s="27"/>
    </row>
    <row r="98" spans="1:13" ht="27.75" customHeight="1" thickBot="1">
      <c r="A98" s="1061" t="s">
        <v>160</v>
      </c>
      <c r="B98" s="1062"/>
      <c r="C98" s="1062"/>
      <c r="D98" s="1063"/>
      <c r="E98" s="82"/>
      <c r="F98" s="97"/>
      <c r="G98" s="80"/>
      <c r="H98" s="74"/>
      <c r="I98" s="74"/>
      <c r="J98" s="74"/>
      <c r="K98" s="74"/>
      <c r="M98" s="27"/>
    </row>
    <row r="99" spans="1:13">
      <c r="A99" s="108" t="s">
        <v>43</v>
      </c>
      <c r="B99" s="109" t="s">
        <v>42</v>
      </c>
      <c r="C99" s="109" t="s">
        <v>36</v>
      </c>
      <c r="D99" s="111" t="s">
        <v>8</v>
      </c>
      <c r="E99" s="402"/>
      <c r="F99" s="98"/>
      <c r="G99" s="80"/>
      <c r="H99" s="74"/>
      <c r="I99" s="74"/>
      <c r="J99" s="74"/>
      <c r="K99" s="74"/>
    </row>
    <row r="100" spans="1:13" ht="21" customHeight="1">
      <c r="A100" s="745" t="s">
        <v>291</v>
      </c>
      <c r="B100" s="747" t="s">
        <v>290</v>
      </c>
      <c r="C100" s="805">
        <v>1.28</v>
      </c>
      <c r="D100" s="810">
        <f>(0.5*21*D119)*12</f>
        <v>165.06</v>
      </c>
      <c r="E100" s="723"/>
      <c r="F100" s="730"/>
      <c r="G100" s="80"/>
      <c r="H100" s="74"/>
      <c r="I100" s="74"/>
      <c r="J100" s="74"/>
      <c r="K100" s="74"/>
    </row>
    <row r="101" spans="1:13" ht="19.5" customHeight="1">
      <c r="A101" s="745" t="s">
        <v>95</v>
      </c>
      <c r="B101" s="746" t="s">
        <v>217</v>
      </c>
      <c r="C101" s="806">
        <f>B85</f>
        <v>6.21</v>
      </c>
      <c r="D101" s="810">
        <f>58.61*(D119+D122)*12</f>
        <v>1385.5404000000001</v>
      </c>
      <c r="E101" s="723"/>
      <c r="F101" s="731"/>
      <c r="G101" s="80"/>
      <c r="H101" s="407"/>
      <c r="I101" s="405"/>
      <c r="J101" s="74"/>
      <c r="K101" s="74"/>
    </row>
    <row r="102" spans="1:13" ht="25.5">
      <c r="A102" s="745" t="s">
        <v>174</v>
      </c>
      <c r="B102" s="746" t="s">
        <v>49</v>
      </c>
      <c r="C102" s="801">
        <v>1.1000000000000001</v>
      </c>
      <c r="D102" s="810">
        <f>9*21*12</f>
        <v>2268</v>
      </c>
      <c r="E102" s="723"/>
      <c r="F102" s="731"/>
      <c r="G102" s="80"/>
      <c r="H102" s="74"/>
      <c r="I102" s="74"/>
      <c r="J102" s="74"/>
      <c r="K102" s="74"/>
    </row>
    <row r="103" spans="1:13" ht="21" customHeight="1">
      <c r="A103" s="745" t="s">
        <v>218</v>
      </c>
      <c r="B103" s="746" t="s">
        <v>217</v>
      </c>
      <c r="C103" s="801">
        <v>18.2</v>
      </c>
      <c r="D103" s="810">
        <f>D101*4%</f>
        <v>55.421616000000007</v>
      </c>
      <c r="E103" s="723"/>
      <c r="F103" s="731"/>
      <c r="G103" s="80"/>
      <c r="H103" s="74"/>
      <c r="I103" s="74"/>
      <c r="J103" s="74"/>
      <c r="K103" s="74"/>
    </row>
    <row r="104" spans="1:13" ht="18.75" customHeight="1">
      <c r="A104" s="744" t="s">
        <v>358</v>
      </c>
      <c r="B104" s="476" t="s">
        <v>359</v>
      </c>
      <c r="C104" s="802">
        <v>948</v>
      </c>
      <c r="D104" s="807">
        <v>30</v>
      </c>
      <c r="E104" s="723"/>
      <c r="F104" s="731"/>
      <c r="G104" s="80"/>
      <c r="H104" s="74"/>
      <c r="I104" s="74"/>
      <c r="J104" s="74"/>
      <c r="K104" s="74"/>
    </row>
    <row r="105" spans="1:13" ht="18.75" customHeight="1">
      <c r="A105" s="742"/>
      <c r="B105" s="743"/>
      <c r="C105" s="803"/>
      <c r="D105" s="808"/>
      <c r="E105" s="723"/>
      <c r="F105" s="731"/>
      <c r="G105" s="80"/>
      <c r="H105" s="74"/>
      <c r="I105" s="74"/>
      <c r="J105" s="74"/>
      <c r="K105" s="74"/>
    </row>
    <row r="106" spans="1:13" ht="18.75" customHeight="1" thickBot="1">
      <c r="A106" s="423"/>
      <c r="B106" s="488"/>
      <c r="C106" s="804"/>
      <c r="D106" s="809"/>
      <c r="E106" s="723"/>
      <c r="F106" s="731"/>
      <c r="G106" s="80"/>
      <c r="H106" s="74"/>
      <c r="I106" s="74"/>
      <c r="J106" s="74"/>
      <c r="K106" s="74"/>
    </row>
    <row r="107" spans="1:13" ht="13.5" thickBot="1">
      <c r="A107" s="79"/>
      <c r="C107" s="74"/>
      <c r="D107" s="74"/>
      <c r="E107" s="74"/>
      <c r="F107" s="80"/>
      <c r="G107" s="80"/>
      <c r="H107" s="74"/>
      <c r="I107" s="74"/>
      <c r="J107" s="74"/>
      <c r="K107" s="74"/>
    </row>
    <row r="108" spans="1:13" ht="26.25" customHeight="1" thickBot="1">
      <c r="A108" s="1047" t="s">
        <v>159</v>
      </c>
      <c r="B108" s="1048"/>
      <c r="C108" s="1048"/>
      <c r="D108" s="1048"/>
      <c r="E108" s="1049"/>
      <c r="F108" s="80"/>
      <c r="G108" s="80"/>
      <c r="H108" s="74"/>
      <c r="I108" s="74"/>
      <c r="J108" s="74"/>
      <c r="K108" s="74"/>
    </row>
    <row r="109" spans="1:13" ht="27" customHeight="1">
      <c r="A109" s="757" t="s">
        <v>43</v>
      </c>
      <c r="B109" s="758" t="s">
        <v>42</v>
      </c>
      <c r="C109" s="759" t="s">
        <v>70</v>
      </c>
      <c r="D109" s="758" t="s">
        <v>8</v>
      </c>
      <c r="E109" s="760" t="s">
        <v>36</v>
      </c>
      <c r="F109" s="80"/>
      <c r="G109" s="80"/>
      <c r="H109" s="74"/>
      <c r="I109" s="74"/>
      <c r="J109" s="74"/>
      <c r="K109" s="74"/>
    </row>
    <row r="110" spans="1:13" ht="15">
      <c r="A110" s="358" t="s">
        <v>114</v>
      </c>
      <c r="B110" s="754" t="s">
        <v>42</v>
      </c>
      <c r="C110" s="755">
        <v>6</v>
      </c>
      <c r="D110" s="761">
        <v>2</v>
      </c>
      <c r="E110" s="798">
        <v>29.5</v>
      </c>
      <c r="F110" s="406"/>
      <c r="G110" s="729"/>
      <c r="H110" s="74"/>
      <c r="I110" s="74"/>
      <c r="J110" s="74"/>
      <c r="K110" s="74"/>
    </row>
    <row r="111" spans="1:13" ht="15">
      <c r="A111" s="358" t="s">
        <v>27</v>
      </c>
      <c r="B111" s="754" t="s">
        <v>42</v>
      </c>
      <c r="C111" s="755">
        <v>12</v>
      </c>
      <c r="D111" s="761">
        <v>2</v>
      </c>
      <c r="E111" s="798">
        <v>23.5</v>
      </c>
      <c r="F111" s="406"/>
      <c r="G111" s="729"/>
      <c r="H111" s="74"/>
      <c r="I111" s="74"/>
      <c r="J111" s="74"/>
      <c r="K111" s="74"/>
    </row>
    <row r="112" spans="1:13" ht="15">
      <c r="A112" s="358" t="s">
        <v>90</v>
      </c>
      <c r="B112" s="754" t="s">
        <v>42</v>
      </c>
      <c r="C112" s="755">
        <v>12</v>
      </c>
      <c r="D112" s="761">
        <v>1</v>
      </c>
      <c r="E112" s="798">
        <v>24.2</v>
      </c>
      <c r="F112" s="406"/>
      <c r="G112" s="729"/>
      <c r="H112" s="74"/>
      <c r="I112" s="74"/>
      <c r="J112" s="74"/>
      <c r="K112" s="74"/>
    </row>
    <row r="113" spans="1:11" ht="15">
      <c r="A113" s="358" t="s">
        <v>91</v>
      </c>
      <c r="B113" s="754" t="s">
        <v>42</v>
      </c>
      <c r="C113" s="755">
        <v>12</v>
      </c>
      <c r="D113" s="761">
        <v>1</v>
      </c>
      <c r="E113" s="798">
        <v>29.3</v>
      </c>
      <c r="F113" s="406"/>
      <c r="G113" s="729"/>
      <c r="H113" s="74"/>
      <c r="I113" s="74"/>
      <c r="J113" s="74"/>
      <c r="K113" s="74"/>
    </row>
    <row r="114" spans="1:11" ht="15">
      <c r="A114" s="358" t="s">
        <v>28</v>
      </c>
      <c r="B114" s="754" t="s">
        <v>42</v>
      </c>
      <c r="C114" s="755">
        <v>12</v>
      </c>
      <c r="D114" s="761">
        <v>1</v>
      </c>
      <c r="E114" s="798">
        <v>34.799999999999997</v>
      </c>
      <c r="F114" s="406"/>
      <c r="G114" s="729"/>
      <c r="H114" s="74"/>
      <c r="I114" s="74"/>
      <c r="J114" s="74"/>
      <c r="K114" s="74"/>
    </row>
    <row r="115" spans="1:11" ht="15">
      <c r="A115" s="358" t="s">
        <v>92</v>
      </c>
      <c r="B115" s="754" t="s">
        <v>42</v>
      </c>
      <c r="C115" s="755">
        <v>6</v>
      </c>
      <c r="D115" s="761">
        <v>2</v>
      </c>
      <c r="E115" s="798">
        <v>76.100000000000009</v>
      </c>
      <c r="F115" s="406"/>
      <c r="G115" s="729"/>
      <c r="H115" s="74"/>
      <c r="I115" s="74"/>
      <c r="J115" s="74"/>
      <c r="K115" s="74"/>
    </row>
    <row r="116" spans="1:11" ht="15">
      <c r="A116" s="358" t="s">
        <v>93</v>
      </c>
      <c r="B116" s="754" t="s">
        <v>42</v>
      </c>
      <c r="C116" s="755">
        <v>12</v>
      </c>
      <c r="D116" s="761">
        <v>1</v>
      </c>
      <c r="E116" s="798">
        <v>39.633333333333333</v>
      </c>
      <c r="F116" s="406"/>
      <c r="G116" s="729"/>
      <c r="H116" s="74"/>
      <c r="I116" s="74"/>
      <c r="J116" s="74"/>
      <c r="K116" s="74"/>
    </row>
    <row r="117" spans="1:11" ht="15">
      <c r="A117" s="358" t="s">
        <v>29</v>
      </c>
      <c r="B117" s="754" t="s">
        <v>42</v>
      </c>
      <c r="C117" s="755">
        <v>12</v>
      </c>
      <c r="D117" s="761">
        <v>1</v>
      </c>
      <c r="E117" s="798">
        <v>33.776666666666664</v>
      </c>
      <c r="F117" s="406"/>
      <c r="G117" s="729"/>
      <c r="H117" s="74"/>
      <c r="I117" s="74"/>
      <c r="J117" s="74"/>
      <c r="K117" s="74"/>
    </row>
    <row r="118" spans="1:11" ht="15">
      <c r="A118" s="358" t="s">
        <v>94</v>
      </c>
      <c r="B118" s="754" t="s">
        <v>42</v>
      </c>
      <c r="C118" s="755">
        <v>12</v>
      </c>
      <c r="D118" s="761">
        <v>1</v>
      </c>
      <c r="E118" s="798">
        <v>24.803333333333331</v>
      </c>
      <c r="F118" s="406"/>
      <c r="G118" s="729"/>
      <c r="H118" s="74"/>
      <c r="I118" s="74"/>
      <c r="J118" s="74"/>
      <c r="K118" s="74"/>
    </row>
    <row r="119" spans="1:11" ht="15">
      <c r="A119" s="359" t="s">
        <v>360</v>
      </c>
      <c r="B119" s="754" t="s">
        <v>42</v>
      </c>
      <c r="C119" s="755">
        <v>24</v>
      </c>
      <c r="D119" s="756">
        <f>B14</f>
        <v>1.31</v>
      </c>
      <c r="E119" s="798">
        <v>4337</v>
      </c>
      <c r="F119" s="406"/>
      <c r="G119" s="729"/>
      <c r="H119" s="74"/>
      <c r="I119" s="74"/>
      <c r="J119" s="74"/>
      <c r="K119" s="74"/>
    </row>
    <row r="120" spans="1:11" ht="15">
      <c r="A120" s="359" t="s">
        <v>30</v>
      </c>
      <c r="B120" s="754" t="s">
        <v>42</v>
      </c>
      <c r="C120" s="755">
        <v>12</v>
      </c>
      <c r="D120" s="761">
        <v>1</v>
      </c>
      <c r="E120" s="798">
        <v>331.96666666666664</v>
      </c>
      <c r="F120" s="406"/>
      <c r="G120" s="729"/>
      <c r="H120" s="74"/>
      <c r="I120" s="74"/>
      <c r="J120" s="74"/>
      <c r="K120" s="74"/>
    </row>
    <row r="121" spans="1:11" ht="15">
      <c r="A121" s="359" t="s">
        <v>31</v>
      </c>
      <c r="B121" s="754" t="s">
        <v>42</v>
      </c>
      <c r="C121" s="755">
        <v>12</v>
      </c>
      <c r="D121" s="761">
        <v>1</v>
      </c>
      <c r="E121" s="798">
        <v>43.8</v>
      </c>
      <c r="F121" s="406"/>
      <c r="G121" s="729"/>
      <c r="H121" s="74"/>
      <c r="I121" s="74"/>
      <c r="J121" s="74"/>
      <c r="K121" s="74"/>
    </row>
    <row r="122" spans="1:11" ht="15">
      <c r="A122" s="750" t="s">
        <v>32</v>
      </c>
      <c r="B122" s="751" t="s">
        <v>42</v>
      </c>
      <c r="C122" s="752">
        <v>24</v>
      </c>
      <c r="D122" s="753">
        <f>C14</f>
        <v>0.66</v>
      </c>
      <c r="E122" s="799">
        <v>2385</v>
      </c>
      <c r="F122" s="406"/>
      <c r="G122" s="729"/>
      <c r="H122" s="74"/>
      <c r="I122" s="74"/>
      <c r="J122" s="74"/>
      <c r="K122" s="74"/>
    </row>
    <row r="123" spans="1:11" ht="15">
      <c r="A123" s="359" t="s">
        <v>361</v>
      </c>
      <c r="B123" s="754" t="s">
        <v>42</v>
      </c>
      <c r="C123" s="755">
        <v>24</v>
      </c>
      <c r="D123" s="756">
        <v>1</v>
      </c>
      <c r="E123" s="798">
        <v>485.9</v>
      </c>
      <c r="F123" s="406"/>
      <c r="G123" s="729"/>
      <c r="H123" s="74"/>
      <c r="I123" s="74"/>
      <c r="J123" s="74"/>
      <c r="K123" s="74"/>
    </row>
    <row r="124" spans="1:11" ht="15">
      <c r="A124" s="359"/>
      <c r="B124" s="754"/>
      <c r="C124" s="755"/>
      <c r="D124" s="756"/>
      <c r="E124" s="798"/>
      <c r="F124" s="406"/>
      <c r="G124" s="729"/>
      <c r="H124" s="74"/>
      <c r="I124" s="74"/>
      <c r="J124" s="74"/>
      <c r="K124" s="74"/>
    </row>
    <row r="125" spans="1:11" ht="15.75" thickBot="1">
      <c r="A125" s="762"/>
      <c r="B125" s="424"/>
      <c r="C125" s="360"/>
      <c r="D125" s="408"/>
      <c r="E125" s="800"/>
      <c r="F125" s="406"/>
      <c r="G125" s="729"/>
      <c r="H125" s="74"/>
      <c r="I125" s="74"/>
      <c r="J125" s="74"/>
      <c r="K125" s="74"/>
    </row>
    <row r="126" spans="1:11" ht="13.5" thickBot="1">
      <c r="A126" s="1050" t="s">
        <v>267</v>
      </c>
      <c r="B126" s="1051"/>
      <c r="C126" s="357">
        <v>0.1</v>
      </c>
      <c r="D126" s="168"/>
      <c r="E126" s="169"/>
      <c r="F126" s="80"/>
      <c r="G126" s="80"/>
      <c r="H126" s="74"/>
      <c r="I126" s="74"/>
      <c r="J126" s="74"/>
      <c r="K126" s="74"/>
    </row>
    <row r="127" spans="1:11" ht="20.25" customHeight="1" thickBot="1">
      <c r="A127" s="79"/>
      <c r="C127" s="74"/>
      <c r="D127" s="74"/>
      <c r="E127" s="74"/>
      <c r="F127" s="80"/>
      <c r="G127" s="80"/>
      <c r="H127" s="74"/>
      <c r="I127" s="74"/>
      <c r="J127" s="74"/>
      <c r="K127" s="74"/>
    </row>
    <row r="128" spans="1:11" ht="21.75" customHeight="1" thickBot="1">
      <c r="A128" s="1056" t="s">
        <v>219</v>
      </c>
      <c r="B128" s="1057"/>
      <c r="C128" s="1057"/>
      <c r="D128" s="1033" t="s">
        <v>326</v>
      </c>
      <c r="E128" s="1034"/>
      <c r="F128" s="1035"/>
      <c r="G128" s="80"/>
      <c r="H128" s="74"/>
      <c r="I128" s="74"/>
      <c r="J128" s="74"/>
      <c r="K128" s="74"/>
    </row>
    <row r="129" spans="1:11" ht="26.25" thickBot="1">
      <c r="A129" s="452" t="s">
        <v>43</v>
      </c>
      <c r="B129" s="453" t="s">
        <v>42</v>
      </c>
      <c r="C129" s="453" t="s">
        <v>36</v>
      </c>
      <c r="D129" s="454" t="s">
        <v>20</v>
      </c>
      <c r="E129" s="454" t="s">
        <v>327</v>
      </c>
      <c r="F129" s="455" t="s">
        <v>35</v>
      </c>
      <c r="G129" s="80"/>
      <c r="H129" s="74"/>
      <c r="I129" s="74"/>
      <c r="J129" s="74"/>
      <c r="K129" s="74"/>
    </row>
    <row r="130" spans="1:11">
      <c r="A130" s="456" t="s">
        <v>77</v>
      </c>
      <c r="B130" s="457" t="s">
        <v>42</v>
      </c>
      <c r="C130" s="457">
        <v>46.9</v>
      </c>
      <c r="D130" s="458">
        <v>6</v>
      </c>
      <c r="E130" s="458">
        <v>6</v>
      </c>
      <c r="F130" s="459">
        <v>6</v>
      </c>
      <c r="G130" s="80"/>
      <c r="H130" s="74"/>
      <c r="I130" s="74"/>
      <c r="J130" s="74"/>
      <c r="K130" s="74"/>
    </row>
    <row r="131" spans="1:11">
      <c r="A131" s="456" t="s">
        <v>9</v>
      </c>
      <c r="B131" s="457" t="s">
        <v>42</v>
      </c>
      <c r="C131" s="457">
        <v>62.9</v>
      </c>
      <c r="D131" s="458">
        <v>6</v>
      </c>
      <c r="E131" s="458">
        <v>6</v>
      </c>
      <c r="F131" s="459">
        <v>6</v>
      </c>
      <c r="G131" s="80"/>
      <c r="H131" s="74"/>
      <c r="I131" s="74"/>
      <c r="J131" s="74"/>
      <c r="K131" s="74"/>
    </row>
    <row r="132" spans="1:11">
      <c r="A132" s="456" t="s">
        <v>78</v>
      </c>
      <c r="B132" s="457" t="s">
        <v>42</v>
      </c>
      <c r="C132" s="457">
        <v>4.6077777777777778</v>
      </c>
      <c r="D132" s="458">
        <v>6</v>
      </c>
      <c r="E132" s="458">
        <v>6</v>
      </c>
      <c r="F132" s="459">
        <v>6</v>
      </c>
      <c r="G132" s="80"/>
      <c r="H132" s="74"/>
      <c r="I132" s="74"/>
      <c r="J132" s="74"/>
      <c r="K132" s="74"/>
    </row>
    <row r="133" spans="1:11">
      <c r="A133" s="456" t="s">
        <v>79</v>
      </c>
      <c r="B133" s="457" t="s">
        <v>42</v>
      </c>
      <c r="C133" s="457">
        <v>48.2</v>
      </c>
      <c r="D133" s="458"/>
      <c r="E133" s="458"/>
      <c r="F133" s="459">
        <v>2</v>
      </c>
      <c r="G133" s="80"/>
      <c r="H133" s="74"/>
      <c r="I133" s="74"/>
      <c r="J133" s="74"/>
      <c r="K133" s="74"/>
    </row>
    <row r="134" spans="1:11">
      <c r="A134" s="450" t="s">
        <v>101</v>
      </c>
      <c r="B134" s="451" t="s">
        <v>42</v>
      </c>
      <c r="C134" s="451">
        <v>18.399999999999999</v>
      </c>
      <c r="D134" s="460">
        <v>1</v>
      </c>
      <c r="E134" s="460">
        <v>1</v>
      </c>
      <c r="F134" s="461">
        <v>1</v>
      </c>
      <c r="G134" s="80"/>
      <c r="H134" s="74"/>
      <c r="I134" s="74"/>
      <c r="J134" s="74"/>
      <c r="K134" s="74"/>
    </row>
    <row r="135" spans="1:11">
      <c r="A135" s="456" t="s">
        <v>362</v>
      </c>
      <c r="B135" s="457" t="s">
        <v>42</v>
      </c>
      <c r="C135" s="457">
        <v>230</v>
      </c>
      <c r="D135" s="458">
        <v>1</v>
      </c>
      <c r="E135" s="458">
        <v>1</v>
      </c>
      <c r="F135" s="459">
        <v>1</v>
      </c>
      <c r="G135" s="80"/>
      <c r="H135" s="74"/>
      <c r="I135" s="74"/>
      <c r="J135" s="74"/>
      <c r="K135" s="74"/>
    </row>
    <row r="136" spans="1:11">
      <c r="A136" s="450" t="s">
        <v>363</v>
      </c>
      <c r="B136" s="451" t="s">
        <v>42</v>
      </c>
      <c r="C136" s="451">
        <v>39.799999999999997</v>
      </c>
      <c r="D136" s="460">
        <v>6</v>
      </c>
      <c r="E136" s="460">
        <v>6</v>
      </c>
      <c r="F136" s="461">
        <v>6</v>
      </c>
      <c r="G136" s="80"/>
      <c r="H136" s="74"/>
      <c r="I136" s="74"/>
      <c r="J136" s="74"/>
      <c r="K136" s="74"/>
    </row>
    <row r="137" spans="1:11" ht="13.5" thickBot="1">
      <c r="A137" s="462"/>
      <c r="B137" s="463"/>
      <c r="C137" s="463"/>
      <c r="D137" s="464"/>
      <c r="E137" s="464"/>
      <c r="F137" s="465"/>
      <c r="G137" s="80"/>
      <c r="H137" s="74"/>
      <c r="I137" s="74"/>
      <c r="J137" s="74"/>
      <c r="K137" s="74"/>
    </row>
    <row r="138" spans="1:11" ht="13.5" thickBot="1">
      <c r="A138" s="79"/>
      <c r="C138" s="74"/>
      <c r="D138" s="74"/>
      <c r="E138" s="74"/>
      <c r="F138" s="80"/>
      <c r="G138" s="80"/>
      <c r="H138" s="74"/>
      <c r="I138" s="74"/>
      <c r="J138" s="74"/>
      <c r="K138" s="74"/>
    </row>
    <row r="139" spans="1:11" ht="23.25" customHeight="1" thickBot="1">
      <c r="A139" s="1056" t="s">
        <v>328</v>
      </c>
      <c r="B139" s="1057"/>
      <c r="C139" s="1057"/>
      <c r="D139" s="1033" t="s">
        <v>326</v>
      </c>
      <c r="E139" s="1034"/>
      <c r="F139" s="1035"/>
      <c r="G139" s="80"/>
      <c r="H139" s="74"/>
      <c r="I139" s="74"/>
      <c r="J139" s="74"/>
      <c r="K139" s="74"/>
    </row>
    <row r="140" spans="1:11" ht="25.5">
      <c r="A140" s="108" t="s">
        <v>43</v>
      </c>
      <c r="B140" s="109" t="s">
        <v>42</v>
      </c>
      <c r="C140" s="109" t="s">
        <v>36</v>
      </c>
      <c r="D140" s="467" t="s">
        <v>20</v>
      </c>
      <c r="E140" s="467" t="s">
        <v>327</v>
      </c>
      <c r="F140" s="468" t="s">
        <v>35</v>
      </c>
      <c r="G140" s="80"/>
      <c r="H140" s="74"/>
      <c r="I140" s="74"/>
      <c r="J140" s="74"/>
      <c r="K140" s="74"/>
    </row>
    <row r="141" spans="1:11">
      <c r="A141" s="704" t="s">
        <v>86</v>
      </c>
      <c r="B141" s="469" t="s">
        <v>42</v>
      </c>
      <c r="C141" s="797">
        <v>38.9</v>
      </c>
      <c r="D141" s="470">
        <v>1</v>
      </c>
      <c r="E141" s="471"/>
      <c r="F141" s="472"/>
      <c r="G141" s="406"/>
      <c r="H141" s="728"/>
      <c r="I141" s="74"/>
      <c r="J141" s="74"/>
      <c r="K141" s="74"/>
    </row>
    <row r="142" spans="1:11">
      <c r="A142" s="704" t="s">
        <v>89</v>
      </c>
      <c r="B142" s="469" t="s">
        <v>42</v>
      </c>
      <c r="C142" s="797">
        <v>31.6</v>
      </c>
      <c r="D142" s="473">
        <v>1</v>
      </c>
      <c r="E142" s="471"/>
      <c r="F142" s="474"/>
      <c r="G142" s="406"/>
      <c r="H142" s="728"/>
      <c r="I142" s="74"/>
      <c r="J142" s="74"/>
      <c r="K142" s="74"/>
    </row>
    <row r="143" spans="1:11">
      <c r="A143" s="704" t="s">
        <v>80</v>
      </c>
      <c r="B143" s="469" t="s">
        <v>42</v>
      </c>
      <c r="C143" s="797">
        <v>17.3</v>
      </c>
      <c r="D143" s="473">
        <v>2</v>
      </c>
      <c r="E143" s="471">
        <v>2</v>
      </c>
      <c r="F143" s="474"/>
      <c r="G143" s="406"/>
      <c r="H143" s="728"/>
      <c r="I143" s="74"/>
      <c r="J143" s="74"/>
      <c r="K143" s="74"/>
    </row>
    <row r="144" spans="1:11">
      <c r="A144" s="704" t="s">
        <v>84</v>
      </c>
      <c r="B144" s="469" t="s">
        <v>52</v>
      </c>
      <c r="C144" s="797">
        <v>37.799999999999997</v>
      </c>
      <c r="D144" s="473">
        <v>2</v>
      </c>
      <c r="E144" s="471">
        <v>2</v>
      </c>
      <c r="F144" s="474"/>
      <c r="G144" s="406"/>
      <c r="H144" s="728"/>
      <c r="I144" s="74"/>
      <c r="J144" s="74"/>
      <c r="K144" s="74"/>
    </row>
    <row r="145" spans="1:11">
      <c r="A145" s="704" t="s">
        <v>110</v>
      </c>
      <c r="B145" s="469" t="s">
        <v>42</v>
      </c>
      <c r="C145" s="797">
        <v>11.186666666666667</v>
      </c>
      <c r="D145" s="473">
        <v>1</v>
      </c>
      <c r="E145" s="471">
        <v>1</v>
      </c>
      <c r="F145" s="474"/>
      <c r="G145" s="406"/>
      <c r="H145" s="728"/>
      <c r="I145" s="74"/>
      <c r="J145" s="74"/>
      <c r="K145" s="74"/>
    </row>
    <row r="146" spans="1:11">
      <c r="A146" s="704" t="s">
        <v>83</v>
      </c>
      <c r="B146" s="469" t="s">
        <v>42</v>
      </c>
      <c r="C146" s="797">
        <v>17.8</v>
      </c>
      <c r="D146" s="473">
        <v>4</v>
      </c>
      <c r="E146" s="471">
        <v>4</v>
      </c>
      <c r="F146" s="474"/>
      <c r="G146" s="406"/>
      <c r="H146" s="728"/>
      <c r="I146" s="74"/>
      <c r="J146" s="74"/>
      <c r="K146" s="74"/>
    </row>
    <row r="147" spans="1:11">
      <c r="A147" s="704" t="s">
        <v>81</v>
      </c>
      <c r="B147" s="469" t="s">
        <v>52</v>
      </c>
      <c r="C147" s="797">
        <v>6.82</v>
      </c>
      <c r="D147" s="473">
        <v>6</v>
      </c>
      <c r="E147" s="471">
        <v>6</v>
      </c>
      <c r="F147" s="474"/>
      <c r="G147" s="406"/>
      <c r="H147" s="728"/>
      <c r="I147" s="74"/>
      <c r="J147" s="74"/>
      <c r="K147" s="74"/>
    </row>
    <row r="148" spans="1:11">
      <c r="A148" s="704" t="s">
        <v>82</v>
      </c>
      <c r="B148" s="469" t="s">
        <v>42</v>
      </c>
      <c r="C148" s="797">
        <v>4.9000000000000004</v>
      </c>
      <c r="D148" s="473">
        <v>2</v>
      </c>
      <c r="E148" s="471">
        <v>2</v>
      </c>
      <c r="F148" s="474"/>
      <c r="G148" s="406"/>
      <c r="H148" s="728"/>
      <c r="I148" s="74"/>
      <c r="J148" s="74"/>
      <c r="K148" s="74"/>
    </row>
    <row r="149" spans="1:11">
      <c r="A149" s="704" t="s">
        <v>85</v>
      </c>
      <c r="B149" s="469" t="s">
        <v>52</v>
      </c>
      <c r="C149" s="797">
        <v>26.9</v>
      </c>
      <c r="D149" s="473">
        <v>1</v>
      </c>
      <c r="E149" s="471"/>
      <c r="F149" s="474"/>
      <c r="G149" s="406"/>
      <c r="H149" s="728"/>
      <c r="I149" s="74"/>
      <c r="J149" s="74"/>
      <c r="K149" s="74"/>
    </row>
    <row r="150" spans="1:11">
      <c r="A150" s="704" t="s">
        <v>88</v>
      </c>
      <c r="B150" s="469" t="s">
        <v>42</v>
      </c>
      <c r="C150" s="797">
        <v>2.96</v>
      </c>
      <c r="D150" s="473"/>
      <c r="E150" s="471">
        <v>2</v>
      </c>
      <c r="F150" s="474"/>
      <c r="G150" s="406"/>
      <c r="H150" s="728"/>
      <c r="I150" s="74"/>
      <c r="J150" s="74"/>
      <c r="K150" s="74"/>
    </row>
    <row r="151" spans="1:11">
      <c r="A151" s="704" t="s">
        <v>87</v>
      </c>
      <c r="B151" s="469" t="s">
        <v>42</v>
      </c>
      <c r="C151" s="797">
        <v>33.99</v>
      </c>
      <c r="D151" s="473">
        <v>1</v>
      </c>
      <c r="E151" s="471"/>
      <c r="F151" s="474"/>
      <c r="G151" s="406"/>
      <c r="H151" s="728"/>
      <c r="I151" s="74"/>
      <c r="J151" s="74"/>
      <c r="K151" s="74"/>
    </row>
    <row r="152" spans="1:11">
      <c r="A152" s="704" t="s">
        <v>364</v>
      </c>
      <c r="B152" s="469" t="s">
        <v>53</v>
      </c>
      <c r="C152" s="797">
        <v>26.9</v>
      </c>
      <c r="D152" s="473">
        <v>12</v>
      </c>
      <c r="E152" s="471">
        <v>12</v>
      </c>
      <c r="F152" s="474"/>
      <c r="G152" s="406"/>
      <c r="H152" s="728"/>
      <c r="I152" s="74"/>
      <c r="J152" s="74"/>
      <c r="K152" s="74"/>
    </row>
    <row r="153" spans="1:11">
      <c r="A153" s="475" t="s">
        <v>365</v>
      </c>
      <c r="B153" s="476" t="s">
        <v>42</v>
      </c>
      <c r="C153" s="477">
        <v>966.64</v>
      </c>
      <c r="D153" s="478"/>
      <c r="E153" s="479">
        <v>2</v>
      </c>
      <c r="F153" s="480"/>
      <c r="G153" s="80"/>
      <c r="H153" s="74"/>
      <c r="I153" s="74"/>
      <c r="J153" s="74"/>
      <c r="K153" s="74"/>
    </row>
    <row r="154" spans="1:11">
      <c r="A154" s="481" t="s">
        <v>366</v>
      </c>
      <c r="B154" s="482" t="s">
        <v>42</v>
      </c>
      <c r="C154" s="483">
        <v>22.9</v>
      </c>
      <c r="D154" s="484">
        <v>12</v>
      </c>
      <c r="E154" s="485">
        <v>12</v>
      </c>
      <c r="F154" s="486">
        <v>12</v>
      </c>
      <c r="G154" s="80"/>
      <c r="H154" s="74"/>
      <c r="I154" s="74"/>
      <c r="J154" s="74"/>
      <c r="K154" s="74"/>
    </row>
    <row r="155" spans="1:11" ht="13.5" thickBot="1">
      <c r="A155" s="487"/>
      <c r="B155" s="488"/>
      <c r="C155" s="463"/>
      <c r="D155" s="489"/>
      <c r="E155" s="464"/>
      <c r="F155" s="490"/>
      <c r="G155" s="80"/>
      <c r="H155" s="74"/>
      <c r="I155" s="74"/>
      <c r="J155" s="74"/>
      <c r="K155" s="74"/>
    </row>
    <row r="156" spans="1:11" ht="13.5" thickBot="1">
      <c r="A156" s="466"/>
      <c r="C156" s="74"/>
      <c r="D156" s="74"/>
      <c r="E156" s="74"/>
      <c r="F156" s="80"/>
      <c r="G156" s="80"/>
      <c r="H156" s="74"/>
      <c r="I156" s="74"/>
      <c r="J156" s="74"/>
      <c r="K156" s="74"/>
    </row>
    <row r="157" spans="1:11" ht="21.75" customHeight="1" thickBot="1">
      <c r="A157" s="101" t="s">
        <v>220</v>
      </c>
      <c r="B157" s="102" t="s">
        <v>0</v>
      </c>
      <c r="C157" s="82"/>
      <c r="D157" s="82"/>
      <c r="E157" s="74"/>
      <c r="F157" s="80"/>
      <c r="G157" s="80"/>
      <c r="H157" s="74"/>
      <c r="I157" s="74"/>
      <c r="J157" s="74"/>
      <c r="K157" s="74"/>
    </row>
    <row r="158" spans="1:11" ht="18" customHeight="1">
      <c r="A158" s="104" t="s">
        <v>221</v>
      </c>
      <c r="B158" s="90">
        <v>7.2499999999999995E-2</v>
      </c>
      <c r="C158" s="82"/>
      <c r="D158" s="82"/>
      <c r="E158" s="74"/>
      <c r="F158" s="80"/>
      <c r="G158" s="80"/>
      <c r="H158" s="74"/>
      <c r="I158" s="74"/>
      <c r="J158" s="74"/>
      <c r="K158" s="74"/>
    </row>
    <row r="159" spans="1:11" ht="18" customHeight="1" thickBot="1">
      <c r="A159" s="105" t="s">
        <v>222</v>
      </c>
      <c r="B159" s="91">
        <v>0.14499999999999999</v>
      </c>
      <c r="C159" s="82"/>
      <c r="D159" s="82"/>
      <c r="E159" s="74"/>
      <c r="F159" s="80"/>
      <c r="G159" s="80"/>
      <c r="H159" s="74"/>
      <c r="I159" s="74"/>
      <c r="J159" s="74"/>
      <c r="K159" s="74"/>
    </row>
    <row r="160" spans="1:11" ht="13.5" thickBot="1">
      <c r="A160" s="28"/>
      <c r="B160" s="28"/>
      <c r="C160" s="74"/>
      <c r="D160" s="74"/>
      <c r="E160" s="74"/>
      <c r="F160" s="80"/>
      <c r="G160" s="80"/>
      <c r="H160" s="74"/>
      <c r="I160" s="74"/>
      <c r="J160" s="74"/>
      <c r="K160" s="74"/>
    </row>
    <row r="161" spans="1:11">
      <c r="A161" s="103" t="s">
        <v>38</v>
      </c>
      <c r="B161" s="869" t="str">
        <f>B1</f>
        <v>LUCRO REAL</v>
      </c>
      <c r="C161" s="80"/>
      <c r="H161" s="74"/>
      <c r="I161" s="74"/>
      <c r="J161" s="74"/>
      <c r="K161" s="74"/>
    </row>
    <row r="162" spans="1:11" ht="21" customHeight="1">
      <c r="A162" s="104" t="s">
        <v>212</v>
      </c>
      <c r="B162" s="870"/>
      <c r="C162" s="877" t="str">
        <f>IF($B$1="lucro real"," &lt;-- Para enquadramento no regime de contibuição do Pis não-cumulativo, informar alíquota efetiva média. Vide explicação no memorial de cálculo","")</f>
        <v xml:space="preserve"> &lt;-- Para enquadramento no regime de contibuição do Pis não-cumulativo, informar alíquota efetiva média. Vide explicação no memorial de cálculo</v>
      </c>
      <c r="H162" s="74"/>
      <c r="I162" s="74"/>
      <c r="J162" s="74"/>
      <c r="K162" s="74"/>
    </row>
    <row r="163" spans="1:11" ht="21" customHeight="1">
      <c r="A163" s="104" t="s">
        <v>46</v>
      </c>
      <c r="B163" s="870"/>
      <c r="C163" s="877" t="str">
        <f>IF($B$1="lucro real"," &lt;-- Para enquadramento no regime de contibuição do Cofins não-cumulativo, informar alíquota efetiva média. Vide explicação no memorial de cálculo","")</f>
        <v xml:space="preserve"> &lt;-- Para enquadramento no regime de contibuição do Cofins não-cumulativo, informar alíquota efetiva média. Vide explicação no memorial de cálculo</v>
      </c>
      <c r="H163" s="74"/>
      <c r="I163" s="74"/>
      <c r="J163" s="74"/>
      <c r="K163" s="74"/>
    </row>
    <row r="164" spans="1:11" ht="21" customHeight="1">
      <c r="A164" s="104" t="s">
        <v>39</v>
      </c>
      <c r="B164" s="870">
        <v>0.03</v>
      </c>
      <c r="C164" s="875" t="str">
        <f>IF(B1="simples nacional"," No caso de enquadramento na faixa 6, informar a alíquota do ISS separadamente na célula ao lado","")</f>
        <v/>
      </c>
      <c r="H164" s="74"/>
      <c r="I164" s="74"/>
      <c r="J164" s="74"/>
      <c r="K164" s="74"/>
    </row>
    <row r="165" spans="1:11" ht="21" customHeight="1">
      <c r="A165" s="376" t="s">
        <v>130</v>
      </c>
      <c r="B165" s="871">
        <v>0.107</v>
      </c>
      <c r="C165" s="876" t="str">
        <f>IF(B1="simples nacional"," &lt;---- INFORMAR ALÍQUOTA DAS descontando os percentuais relativos a IRPJ E CSLL","")</f>
        <v/>
      </c>
      <c r="H165" s="74"/>
      <c r="I165" s="74"/>
      <c r="J165" s="74"/>
      <c r="K165" s="74"/>
    </row>
    <row r="166" spans="1:11" ht="24.75" customHeight="1" thickBot="1">
      <c r="A166" s="375" t="s">
        <v>275</v>
      </c>
      <c r="B166" s="872"/>
      <c r="C166" s="868"/>
      <c r="H166" s="74"/>
      <c r="I166" s="74"/>
      <c r="J166" s="74"/>
      <c r="K166" s="74"/>
    </row>
    <row r="167" spans="1:11" s="65" customForma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1:11"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1:11"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1:11"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1:11"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1:11"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1:11"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1:11"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1:11"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1:11"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3:11"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3:11"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3:11"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3:11"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3:11"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3:11"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3:11">
      <c r="C183" s="74"/>
      <c r="D183" s="74"/>
      <c r="E183" s="74"/>
      <c r="F183" s="74"/>
      <c r="G183" s="74"/>
      <c r="H183" s="74"/>
      <c r="I183" s="74"/>
      <c r="J183" s="74"/>
      <c r="K183" s="74"/>
    </row>
    <row r="184" spans="3:11">
      <c r="C184" s="74"/>
      <c r="D184" s="74"/>
      <c r="E184" s="74"/>
      <c r="F184" s="74"/>
      <c r="G184" s="74"/>
      <c r="H184" s="74"/>
      <c r="I184" s="74"/>
      <c r="J184" s="74"/>
      <c r="K184" s="74"/>
    </row>
    <row r="185" spans="3:11">
      <c r="C185" s="74"/>
      <c r="D185" s="74"/>
      <c r="E185" s="74"/>
      <c r="F185" s="74"/>
      <c r="G185" s="74"/>
      <c r="H185" s="74"/>
      <c r="I185" s="74"/>
      <c r="J185" s="74"/>
      <c r="K185" s="74"/>
    </row>
    <row r="186" spans="3:11">
      <c r="C186" s="74"/>
      <c r="D186" s="74"/>
      <c r="E186" s="74"/>
      <c r="F186" s="74"/>
      <c r="G186" s="74"/>
      <c r="H186" s="74"/>
      <c r="I186" s="74"/>
      <c r="J186" s="74"/>
      <c r="K186" s="74"/>
    </row>
    <row r="187" spans="3:11">
      <c r="C187" s="74"/>
      <c r="D187" s="74"/>
      <c r="E187" s="74"/>
      <c r="F187" s="74"/>
      <c r="G187" s="74"/>
      <c r="H187" s="74"/>
      <c r="I187" s="74"/>
      <c r="J187" s="74"/>
      <c r="K187" s="74"/>
    </row>
    <row r="188" spans="3:11">
      <c r="C188" s="74"/>
      <c r="D188" s="74"/>
      <c r="E188" s="74"/>
      <c r="F188" s="74"/>
      <c r="G188" s="74"/>
      <c r="H188" s="74"/>
      <c r="I188" s="74"/>
      <c r="J188" s="74"/>
      <c r="K188" s="74"/>
    </row>
    <row r="189" spans="3:11">
      <c r="C189" s="74"/>
      <c r="D189" s="74"/>
      <c r="E189" s="74"/>
      <c r="F189" s="74"/>
      <c r="G189" s="74"/>
      <c r="H189" s="74"/>
      <c r="I189" s="74"/>
      <c r="J189" s="74"/>
      <c r="K189" s="74"/>
    </row>
    <row r="190" spans="3:11">
      <c r="C190" s="74"/>
      <c r="D190" s="74"/>
      <c r="E190" s="74"/>
      <c r="F190" s="74"/>
      <c r="G190" s="74"/>
      <c r="H190" s="74"/>
      <c r="I190" s="74"/>
      <c r="J190" s="74"/>
      <c r="K190" s="74"/>
    </row>
    <row r="191" spans="3:11">
      <c r="C191" s="74"/>
      <c r="D191" s="74"/>
      <c r="E191" s="74"/>
      <c r="F191" s="74"/>
      <c r="G191" s="74"/>
      <c r="H191" s="74"/>
      <c r="I191" s="74"/>
      <c r="J191" s="74"/>
      <c r="K191" s="74"/>
    </row>
    <row r="192" spans="3:11">
      <c r="C192" s="74"/>
      <c r="D192" s="74"/>
      <c r="E192" s="74"/>
      <c r="F192" s="74"/>
      <c r="G192" s="74"/>
      <c r="H192" s="74"/>
      <c r="I192" s="74"/>
      <c r="J192" s="74"/>
      <c r="K192" s="74"/>
    </row>
    <row r="193" spans="3:11">
      <c r="C193" s="74"/>
      <c r="D193" s="74"/>
      <c r="E193" s="74"/>
      <c r="F193" s="74"/>
      <c r="G193" s="74"/>
      <c r="H193" s="74"/>
      <c r="I193" s="74"/>
      <c r="J193" s="74"/>
      <c r="K193" s="74"/>
    </row>
    <row r="194" spans="3:11">
      <c r="C194" s="74"/>
      <c r="D194" s="74"/>
      <c r="E194" s="74"/>
      <c r="F194" s="74"/>
      <c r="G194" s="74"/>
      <c r="H194" s="74"/>
      <c r="I194" s="74"/>
      <c r="J194" s="74"/>
      <c r="K194" s="74"/>
    </row>
    <row r="195" spans="3:11">
      <c r="C195" s="74"/>
      <c r="D195" s="74"/>
      <c r="E195" s="74"/>
      <c r="F195" s="74"/>
      <c r="G195" s="74"/>
      <c r="H195" s="74"/>
      <c r="I195" s="74"/>
      <c r="J195" s="74"/>
      <c r="K195" s="74"/>
    </row>
    <row r="196" spans="3:11">
      <c r="C196" s="74"/>
      <c r="D196" s="74"/>
      <c r="E196" s="74"/>
      <c r="F196" s="74"/>
      <c r="G196" s="74"/>
      <c r="H196" s="74"/>
      <c r="I196" s="74"/>
      <c r="J196" s="74"/>
      <c r="K196" s="74"/>
    </row>
    <row r="197" spans="3:11">
      <c r="C197" s="74"/>
      <c r="D197" s="74"/>
      <c r="E197" s="74"/>
      <c r="F197" s="74"/>
      <c r="G197" s="74"/>
      <c r="H197" s="74"/>
      <c r="I197" s="74"/>
      <c r="J197" s="74"/>
      <c r="K197" s="74"/>
    </row>
    <row r="198" spans="3:11">
      <c r="C198" s="74"/>
      <c r="D198" s="74"/>
      <c r="E198" s="74"/>
      <c r="F198" s="74"/>
      <c r="G198" s="74"/>
      <c r="H198" s="74"/>
      <c r="I198" s="74"/>
      <c r="J198" s="74"/>
      <c r="K198" s="74"/>
    </row>
    <row r="199" spans="3:11">
      <c r="C199" s="74"/>
      <c r="D199" s="74"/>
      <c r="E199" s="74"/>
      <c r="F199" s="74"/>
      <c r="G199" s="74"/>
      <c r="H199" s="74"/>
      <c r="I199" s="74"/>
      <c r="J199" s="74"/>
      <c r="K199" s="74"/>
    </row>
    <row r="200" spans="3:11">
      <c r="C200" s="74"/>
      <c r="D200" s="74"/>
      <c r="E200" s="74"/>
      <c r="F200" s="74"/>
      <c r="G200" s="74"/>
      <c r="H200" s="74"/>
      <c r="I200" s="74"/>
      <c r="J200" s="74"/>
      <c r="K200" s="74"/>
    </row>
    <row r="201" spans="3:11"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3:11">
      <c r="C202" s="74"/>
      <c r="D202" s="74"/>
      <c r="E202" s="74"/>
      <c r="F202" s="74"/>
      <c r="G202" s="74"/>
      <c r="H202" s="74"/>
      <c r="I202" s="74"/>
      <c r="J202" s="74"/>
      <c r="K202" s="74"/>
    </row>
    <row r="203" spans="3:11">
      <c r="C203" s="74"/>
      <c r="D203" s="74"/>
      <c r="E203" s="74"/>
      <c r="F203" s="74"/>
      <c r="G203" s="74"/>
      <c r="H203" s="74"/>
      <c r="I203" s="74"/>
      <c r="J203" s="74"/>
      <c r="K203" s="74"/>
    </row>
    <row r="204" spans="3:11">
      <c r="C204" s="74"/>
      <c r="D204" s="74"/>
      <c r="E204" s="74"/>
      <c r="F204" s="74"/>
      <c r="G204" s="74"/>
      <c r="H204" s="74"/>
      <c r="I204" s="74"/>
      <c r="J204" s="74"/>
      <c r="K204" s="74"/>
    </row>
    <row r="205" spans="3:11">
      <c r="C205" s="74"/>
      <c r="D205" s="74"/>
      <c r="E205" s="74"/>
      <c r="F205" s="74"/>
      <c r="G205" s="74"/>
      <c r="H205" s="74"/>
      <c r="I205" s="74"/>
      <c r="J205" s="74"/>
      <c r="K205" s="74"/>
    </row>
    <row r="206" spans="3:11">
      <c r="C206" s="74"/>
      <c r="D206" s="74"/>
      <c r="E206" s="74"/>
      <c r="F206" s="74"/>
      <c r="G206" s="74"/>
      <c r="H206" s="74"/>
      <c r="I206" s="74"/>
      <c r="J206" s="74"/>
      <c r="K206" s="74"/>
    </row>
    <row r="207" spans="3:11">
      <c r="C207" s="74"/>
      <c r="D207" s="74"/>
      <c r="E207" s="74"/>
      <c r="F207" s="74"/>
      <c r="G207" s="74"/>
      <c r="H207" s="74"/>
      <c r="I207" s="74"/>
      <c r="J207" s="74"/>
      <c r="K207" s="74"/>
    </row>
    <row r="208" spans="3:11">
      <c r="C208" s="74"/>
      <c r="D208" s="74"/>
      <c r="E208" s="74"/>
      <c r="F208" s="74"/>
      <c r="G208" s="74"/>
      <c r="H208" s="74"/>
      <c r="I208" s="74"/>
      <c r="J208" s="74"/>
      <c r="K208" s="74"/>
    </row>
    <row r="209" spans="3:11">
      <c r="C209" s="74"/>
      <c r="D209" s="74"/>
      <c r="E209" s="74"/>
      <c r="F209" s="74"/>
      <c r="G209" s="74"/>
      <c r="H209" s="74"/>
      <c r="I209" s="74"/>
      <c r="J209" s="74"/>
      <c r="K209" s="74"/>
    </row>
    <row r="210" spans="3:11">
      <c r="C210" s="74"/>
      <c r="D210" s="74"/>
      <c r="E210" s="74"/>
      <c r="F210" s="74"/>
      <c r="G210" s="74"/>
      <c r="H210" s="74"/>
      <c r="I210" s="74"/>
      <c r="J210" s="74"/>
      <c r="K210" s="74"/>
    </row>
    <row r="211" spans="3:11">
      <c r="C211" s="74"/>
      <c r="D211" s="74"/>
      <c r="E211" s="74"/>
      <c r="F211" s="74"/>
      <c r="G211" s="74"/>
      <c r="H211" s="74"/>
      <c r="I211" s="74"/>
      <c r="J211" s="74"/>
      <c r="K211" s="74"/>
    </row>
    <row r="212" spans="3:11">
      <c r="C212" s="74"/>
      <c r="D212" s="74"/>
      <c r="E212" s="74"/>
      <c r="F212" s="74"/>
      <c r="G212" s="74"/>
      <c r="H212" s="74"/>
      <c r="I212" s="74"/>
      <c r="J212" s="74"/>
      <c r="K212" s="74"/>
    </row>
    <row r="213" spans="3:11">
      <c r="C213" s="74"/>
      <c r="D213" s="74"/>
      <c r="E213" s="74"/>
      <c r="F213" s="74"/>
      <c r="G213" s="74"/>
      <c r="H213" s="74"/>
      <c r="I213" s="74"/>
      <c r="J213" s="74"/>
      <c r="K213" s="74"/>
    </row>
    <row r="214" spans="3:11">
      <c r="C214" s="74"/>
      <c r="D214" s="74"/>
      <c r="E214" s="74"/>
      <c r="F214" s="74"/>
      <c r="G214" s="74"/>
      <c r="H214" s="74"/>
      <c r="I214" s="74"/>
      <c r="J214" s="74"/>
      <c r="K214" s="74"/>
    </row>
    <row r="215" spans="3:11">
      <c r="C215" s="74"/>
      <c r="D215" s="74"/>
      <c r="E215" s="74"/>
      <c r="F215" s="74"/>
      <c r="G215" s="74"/>
      <c r="H215" s="74"/>
      <c r="I215" s="74"/>
      <c r="J215" s="74"/>
      <c r="K215" s="74"/>
    </row>
    <row r="216" spans="3:11">
      <c r="C216" s="74"/>
      <c r="D216" s="74"/>
      <c r="E216" s="74"/>
      <c r="F216" s="74"/>
      <c r="G216" s="74"/>
      <c r="H216" s="74"/>
      <c r="I216" s="74"/>
      <c r="J216" s="74"/>
      <c r="K216" s="74"/>
    </row>
    <row r="217" spans="3:11">
      <c r="C217" s="74"/>
      <c r="D217" s="74"/>
      <c r="E217" s="74"/>
      <c r="F217" s="74"/>
      <c r="G217" s="74"/>
      <c r="H217" s="74"/>
      <c r="I217" s="74"/>
      <c r="J217" s="74"/>
      <c r="K217" s="74"/>
    </row>
    <row r="218" spans="3:11">
      <c r="C218" s="74"/>
      <c r="D218" s="74"/>
      <c r="E218" s="74"/>
      <c r="F218" s="74"/>
      <c r="G218" s="74"/>
      <c r="H218" s="74"/>
      <c r="I218" s="74"/>
      <c r="J218" s="74"/>
      <c r="K218" s="74"/>
    </row>
    <row r="219" spans="3:11">
      <c r="C219" s="74"/>
      <c r="D219" s="74"/>
      <c r="E219" s="74"/>
      <c r="F219" s="74"/>
      <c r="G219" s="74"/>
      <c r="H219" s="74"/>
      <c r="I219" s="74"/>
      <c r="J219" s="74"/>
      <c r="K219" s="74"/>
    </row>
    <row r="220" spans="3:11">
      <c r="C220" s="74"/>
      <c r="D220" s="74"/>
      <c r="E220" s="74"/>
      <c r="F220" s="74"/>
      <c r="G220" s="74"/>
      <c r="H220" s="74"/>
      <c r="I220" s="74"/>
      <c r="J220" s="74"/>
      <c r="K220" s="74"/>
    </row>
    <row r="221" spans="3:11">
      <c r="C221" s="74"/>
      <c r="D221" s="74"/>
      <c r="E221" s="74"/>
      <c r="F221" s="74"/>
      <c r="G221" s="74"/>
      <c r="H221" s="74"/>
      <c r="I221" s="74"/>
      <c r="J221" s="74"/>
      <c r="K221" s="74"/>
    </row>
    <row r="222" spans="3:11">
      <c r="C222" s="74"/>
      <c r="D222" s="74"/>
      <c r="E222" s="74"/>
      <c r="F222" s="74"/>
      <c r="G222" s="74"/>
      <c r="H222" s="74"/>
      <c r="I222" s="74"/>
      <c r="J222" s="74"/>
      <c r="K222" s="74"/>
    </row>
    <row r="223" spans="3:11">
      <c r="C223" s="74"/>
      <c r="D223" s="74"/>
      <c r="E223" s="74"/>
      <c r="F223" s="74"/>
      <c r="G223" s="74"/>
      <c r="H223" s="74"/>
      <c r="I223" s="74"/>
      <c r="J223" s="74"/>
      <c r="K223" s="74"/>
    </row>
    <row r="224" spans="3:11">
      <c r="C224" s="74"/>
      <c r="D224" s="74"/>
      <c r="E224" s="74"/>
      <c r="F224" s="74"/>
      <c r="G224" s="74"/>
      <c r="H224" s="74"/>
      <c r="I224" s="74"/>
      <c r="J224" s="74"/>
      <c r="K224" s="74"/>
    </row>
    <row r="225" spans="3:11">
      <c r="C225" s="74"/>
      <c r="D225" s="74"/>
      <c r="E225" s="74"/>
      <c r="F225" s="74"/>
      <c r="G225" s="74"/>
      <c r="H225" s="74"/>
      <c r="I225" s="74"/>
      <c r="J225" s="74"/>
      <c r="K225" s="74"/>
    </row>
    <row r="226" spans="3:11">
      <c r="C226" s="74"/>
      <c r="D226" s="74"/>
      <c r="E226" s="74"/>
      <c r="F226" s="74"/>
      <c r="G226" s="74"/>
      <c r="H226" s="74"/>
      <c r="I226" s="74"/>
      <c r="J226" s="74"/>
      <c r="K226" s="74"/>
    </row>
    <row r="227" spans="3:11">
      <c r="C227" s="74"/>
      <c r="D227" s="74"/>
      <c r="E227" s="74"/>
      <c r="F227" s="74"/>
      <c r="G227" s="74"/>
      <c r="H227" s="74"/>
      <c r="I227" s="74"/>
      <c r="J227" s="74"/>
      <c r="K227" s="74"/>
    </row>
    <row r="228" spans="3:11">
      <c r="C228" s="74"/>
      <c r="D228" s="74"/>
      <c r="E228" s="74"/>
      <c r="F228" s="74"/>
      <c r="G228" s="74"/>
      <c r="H228" s="74"/>
      <c r="I228" s="74"/>
      <c r="J228" s="74"/>
      <c r="K228" s="74"/>
    </row>
    <row r="229" spans="3:11">
      <c r="C229" s="74"/>
      <c r="D229" s="74"/>
      <c r="E229" s="74"/>
      <c r="F229" s="74"/>
      <c r="G229" s="74"/>
      <c r="H229" s="74"/>
      <c r="I229" s="74"/>
      <c r="J229" s="74"/>
      <c r="K229" s="74"/>
    </row>
    <row r="230" spans="3:11">
      <c r="C230" s="74"/>
      <c r="D230" s="74"/>
      <c r="E230" s="74"/>
      <c r="F230" s="74"/>
      <c r="G230" s="74"/>
      <c r="H230" s="74"/>
      <c r="I230" s="74"/>
      <c r="J230" s="74"/>
      <c r="K230" s="74"/>
    </row>
    <row r="231" spans="3:11">
      <c r="C231" s="74"/>
      <c r="D231" s="74"/>
      <c r="E231" s="74"/>
      <c r="F231" s="74"/>
      <c r="G231" s="74"/>
      <c r="H231" s="74"/>
      <c r="I231" s="74"/>
      <c r="J231" s="74"/>
      <c r="K231" s="74"/>
    </row>
    <row r="232" spans="3:11">
      <c r="C232" s="74"/>
      <c r="D232" s="74"/>
      <c r="E232" s="74"/>
      <c r="F232" s="74"/>
      <c r="G232" s="74"/>
      <c r="H232" s="74"/>
      <c r="I232" s="74"/>
      <c r="J232" s="74"/>
      <c r="K232" s="74"/>
    </row>
    <row r="233" spans="3:11">
      <c r="C233" s="74"/>
      <c r="D233" s="74"/>
      <c r="E233" s="74"/>
      <c r="F233" s="74"/>
      <c r="G233" s="74"/>
      <c r="H233" s="74"/>
      <c r="I233" s="74"/>
      <c r="J233" s="74"/>
      <c r="K233" s="74"/>
    </row>
    <row r="234" spans="3:11">
      <c r="C234" s="74"/>
      <c r="D234" s="74"/>
      <c r="E234" s="74"/>
      <c r="F234" s="74"/>
      <c r="G234" s="74"/>
      <c r="H234" s="74"/>
      <c r="I234" s="74"/>
      <c r="J234" s="74"/>
      <c r="K234" s="74"/>
    </row>
    <row r="235" spans="3:11">
      <c r="C235" s="74"/>
      <c r="D235" s="74"/>
      <c r="E235" s="74"/>
      <c r="F235" s="74"/>
      <c r="G235" s="74"/>
      <c r="H235" s="74"/>
      <c r="I235" s="74"/>
      <c r="J235" s="74"/>
      <c r="K235" s="74"/>
    </row>
    <row r="236" spans="3:11">
      <c r="C236" s="74"/>
      <c r="D236" s="74"/>
      <c r="E236" s="74"/>
      <c r="F236" s="74"/>
      <c r="G236" s="74"/>
      <c r="H236" s="74"/>
      <c r="I236" s="74"/>
      <c r="J236" s="74"/>
      <c r="K236" s="74"/>
    </row>
    <row r="237" spans="3:11">
      <c r="C237" s="74"/>
      <c r="D237" s="74"/>
      <c r="E237" s="74"/>
      <c r="F237" s="74"/>
      <c r="G237" s="74"/>
      <c r="H237" s="74"/>
      <c r="I237" s="74"/>
      <c r="J237" s="74"/>
      <c r="K237" s="74"/>
    </row>
    <row r="238" spans="3:11">
      <c r="C238" s="74"/>
      <c r="D238" s="74"/>
      <c r="E238" s="74"/>
      <c r="F238" s="74"/>
      <c r="G238" s="74"/>
      <c r="H238" s="74"/>
      <c r="I238" s="74"/>
      <c r="J238" s="74"/>
      <c r="K238" s="74"/>
    </row>
    <row r="239" spans="3:11">
      <c r="C239" s="74"/>
      <c r="D239" s="74"/>
      <c r="E239" s="74"/>
      <c r="F239" s="74"/>
      <c r="G239" s="74"/>
      <c r="H239" s="74"/>
      <c r="I239" s="74"/>
      <c r="J239" s="74"/>
      <c r="K239" s="74"/>
    </row>
    <row r="240" spans="3:11">
      <c r="C240" s="74"/>
      <c r="D240" s="74"/>
      <c r="E240" s="74"/>
      <c r="F240" s="74"/>
      <c r="G240" s="74"/>
      <c r="H240" s="74"/>
      <c r="I240" s="74"/>
      <c r="J240" s="74"/>
      <c r="K240" s="74"/>
    </row>
    <row r="241" spans="3:11">
      <c r="C241" s="74"/>
      <c r="D241" s="74"/>
      <c r="E241" s="74"/>
      <c r="F241" s="74"/>
      <c r="G241" s="74"/>
      <c r="H241" s="74"/>
      <c r="I241" s="74"/>
      <c r="J241" s="74"/>
      <c r="K241" s="74"/>
    </row>
    <row r="242" spans="3:11">
      <c r="C242" s="74"/>
      <c r="D242" s="74"/>
      <c r="E242" s="74"/>
      <c r="F242" s="74"/>
      <c r="G242" s="74"/>
      <c r="H242" s="74"/>
      <c r="I242" s="74"/>
      <c r="J242" s="74"/>
      <c r="K242" s="74"/>
    </row>
    <row r="243" spans="3:11">
      <c r="C243" s="74"/>
      <c r="D243" s="74"/>
      <c r="E243" s="74"/>
      <c r="F243" s="74"/>
      <c r="G243" s="74"/>
      <c r="H243" s="74"/>
      <c r="I243" s="74"/>
      <c r="J243" s="74"/>
      <c r="K243" s="74"/>
    </row>
    <row r="244" spans="3:11">
      <c r="C244" s="74"/>
      <c r="D244" s="74"/>
      <c r="E244" s="74"/>
      <c r="F244" s="74"/>
      <c r="G244" s="74"/>
      <c r="H244" s="74"/>
      <c r="I244" s="74"/>
      <c r="J244" s="74"/>
      <c r="K244" s="74"/>
    </row>
    <row r="245" spans="3:11">
      <c r="C245" s="74"/>
      <c r="D245" s="74"/>
      <c r="E245" s="74"/>
      <c r="F245" s="74"/>
      <c r="G245" s="74"/>
      <c r="H245" s="74"/>
      <c r="I245" s="74"/>
      <c r="J245" s="74"/>
      <c r="K245" s="74"/>
    </row>
    <row r="246" spans="3:11">
      <c r="C246" s="74"/>
      <c r="D246" s="74"/>
      <c r="E246" s="74"/>
      <c r="F246" s="74"/>
      <c r="G246" s="74"/>
      <c r="H246" s="74"/>
      <c r="I246" s="74"/>
      <c r="J246" s="74"/>
      <c r="K246" s="74"/>
    </row>
    <row r="247" spans="3:11">
      <c r="C247" s="74"/>
      <c r="D247" s="74"/>
      <c r="E247" s="74"/>
      <c r="F247" s="74"/>
      <c r="G247" s="74"/>
      <c r="H247" s="74"/>
      <c r="I247" s="74"/>
      <c r="J247" s="74"/>
      <c r="K247" s="74"/>
    </row>
    <row r="248" spans="3:11">
      <c r="C248" s="74"/>
      <c r="D248" s="74"/>
      <c r="E248" s="74"/>
      <c r="F248" s="74"/>
      <c r="G248" s="74"/>
      <c r="H248" s="74"/>
      <c r="I248" s="74"/>
      <c r="J248" s="74"/>
      <c r="K248" s="74"/>
    </row>
    <row r="249" spans="3:11">
      <c r="C249" s="74"/>
      <c r="D249" s="74"/>
      <c r="E249" s="74"/>
      <c r="F249" s="74"/>
      <c r="G249" s="74"/>
      <c r="H249" s="74"/>
      <c r="I249" s="74"/>
      <c r="J249" s="74"/>
      <c r="K249" s="74"/>
    </row>
    <row r="250" spans="3:11">
      <c r="C250" s="74"/>
      <c r="D250" s="74"/>
      <c r="E250" s="74"/>
      <c r="F250" s="74"/>
      <c r="G250" s="74"/>
      <c r="H250" s="74"/>
      <c r="I250" s="74"/>
      <c r="J250" s="74"/>
      <c r="K250" s="74"/>
    </row>
    <row r="251" spans="3:11">
      <c r="C251" s="74"/>
      <c r="D251" s="74"/>
      <c r="E251" s="74"/>
      <c r="F251" s="74"/>
      <c r="G251" s="74"/>
      <c r="H251" s="74"/>
      <c r="I251" s="74"/>
      <c r="J251" s="74"/>
      <c r="K251" s="74"/>
    </row>
    <row r="252" spans="3:11">
      <c r="C252" s="74"/>
      <c r="D252" s="74"/>
      <c r="E252" s="74"/>
      <c r="F252" s="74"/>
      <c r="G252" s="74"/>
      <c r="H252" s="74"/>
      <c r="I252" s="74"/>
      <c r="J252" s="74"/>
      <c r="K252" s="74"/>
    </row>
    <row r="253" spans="3:11">
      <c r="C253" s="74"/>
      <c r="D253" s="74"/>
      <c r="E253" s="74"/>
      <c r="F253" s="74"/>
      <c r="G253" s="74"/>
      <c r="H253" s="74"/>
      <c r="I253" s="74"/>
      <c r="J253" s="74"/>
      <c r="K253" s="74"/>
    </row>
    <row r="254" spans="3:11">
      <c r="C254" s="74"/>
      <c r="D254" s="74"/>
      <c r="E254" s="74"/>
      <c r="F254" s="74"/>
      <c r="G254" s="74"/>
      <c r="H254" s="74"/>
      <c r="I254" s="74"/>
      <c r="J254" s="74"/>
      <c r="K254" s="74"/>
    </row>
    <row r="255" spans="3:11">
      <c r="C255" s="74"/>
      <c r="D255" s="74"/>
      <c r="E255" s="74"/>
      <c r="F255" s="74"/>
      <c r="G255" s="74"/>
      <c r="H255" s="74"/>
      <c r="I255" s="74"/>
      <c r="J255" s="74"/>
      <c r="K255" s="74"/>
    </row>
    <row r="256" spans="3:11">
      <c r="C256" s="74"/>
      <c r="D256" s="74"/>
      <c r="E256" s="74"/>
      <c r="F256" s="74"/>
      <c r="G256" s="74"/>
      <c r="H256" s="74"/>
      <c r="I256" s="74"/>
      <c r="J256" s="74"/>
      <c r="K256" s="74"/>
    </row>
    <row r="257" spans="3:11">
      <c r="C257" s="74"/>
      <c r="D257" s="74"/>
      <c r="E257" s="74"/>
      <c r="F257" s="74"/>
      <c r="G257" s="74"/>
      <c r="H257" s="74"/>
      <c r="I257" s="74"/>
      <c r="J257" s="74"/>
      <c r="K257" s="74"/>
    </row>
    <row r="258" spans="3:11">
      <c r="C258" s="74"/>
      <c r="D258" s="74"/>
      <c r="E258" s="74"/>
      <c r="F258" s="74"/>
      <c r="G258" s="74"/>
      <c r="H258" s="74"/>
      <c r="I258" s="74"/>
      <c r="J258" s="74"/>
      <c r="K258" s="74"/>
    </row>
    <row r="259" spans="3:11">
      <c r="C259" s="74"/>
      <c r="D259" s="74"/>
      <c r="E259" s="74"/>
      <c r="F259" s="74"/>
      <c r="G259" s="74"/>
      <c r="H259" s="74"/>
      <c r="I259" s="74"/>
      <c r="J259" s="74"/>
      <c r="K259" s="74"/>
    </row>
    <row r="260" spans="3:11">
      <c r="C260" s="74"/>
      <c r="D260" s="74"/>
      <c r="E260" s="74"/>
      <c r="F260" s="74"/>
      <c r="G260" s="74"/>
      <c r="H260" s="74"/>
      <c r="I260" s="74"/>
      <c r="J260" s="74"/>
      <c r="K260" s="74"/>
    </row>
    <row r="261" spans="3:11">
      <c r="C261" s="74"/>
      <c r="D261" s="74"/>
      <c r="E261" s="74"/>
      <c r="F261" s="74"/>
      <c r="G261" s="74"/>
      <c r="H261" s="74"/>
      <c r="I261" s="74"/>
      <c r="J261" s="74"/>
      <c r="K261" s="74"/>
    </row>
    <row r="262" spans="3:11">
      <c r="C262" s="74"/>
      <c r="D262" s="74"/>
      <c r="E262" s="74"/>
      <c r="F262" s="74"/>
      <c r="G262" s="74"/>
      <c r="H262" s="74"/>
      <c r="I262" s="74"/>
      <c r="J262" s="74"/>
      <c r="K262" s="74"/>
    </row>
    <row r="263" spans="3:11">
      <c r="C263" s="74"/>
      <c r="D263" s="74"/>
      <c r="E263" s="74"/>
      <c r="F263" s="74"/>
      <c r="G263" s="74"/>
      <c r="H263" s="74"/>
      <c r="I263" s="74"/>
      <c r="J263" s="74"/>
      <c r="K263" s="74"/>
    </row>
    <row r="264" spans="3:11">
      <c r="C264" s="74"/>
      <c r="D264" s="74"/>
      <c r="E264" s="74"/>
      <c r="F264" s="74"/>
      <c r="G264" s="74"/>
      <c r="H264" s="74"/>
      <c r="I264" s="74"/>
      <c r="J264" s="74"/>
      <c r="K264" s="74"/>
    </row>
    <row r="265" spans="3:11">
      <c r="C265" s="74"/>
      <c r="D265" s="74"/>
      <c r="E265" s="74"/>
      <c r="F265" s="74"/>
      <c r="G265" s="74"/>
      <c r="H265" s="74"/>
      <c r="I265" s="74"/>
      <c r="J265" s="74"/>
      <c r="K265" s="74"/>
    </row>
    <row r="266" spans="3:11">
      <c r="C266" s="74"/>
      <c r="D266" s="74"/>
      <c r="E266" s="74"/>
      <c r="F266" s="74"/>
      <c r="G266" s="74"/>
      <c r="H266" s="74"/>
      <c r="I266" s="74"/>
      <c r="J266" s="74"/>
      <c r="K266" s="74"/>
    </row>
    <row r="267" spans="3:11">
      <c r="C267" s="74"/>
      <c r="D267" s="74"/>
      <c r="E267" s="74"/>
      <c r="F267" s="74"/>
      <c r="G267" s="74"/>
      <c r="H267" s="74"/>
      <c r="I267" s="74"/>
      <c r="J267" s="74"/>
      <c r="K267" s="74"/>
    </row>
    <row r="268" spans="3:11">
      <c r="C268" s="74"/>
      <c r="D268" s="74"/>
      <c r="E268" s="74"/>
      <c r="F268" s="74"/>
      <c r="G268" s="74"/>
      <c r="H268" s="74"/>
      <c r="I268" s="74"/>
      <c r="J268" s="74"/>
      <c r="K268" s="74"/>
    </row>
    <row r="269" spans="3:11">
      <c r="C269" s="74"/>
      <c r="D269" s="74"/>
      <c r="E269" s="74"/>
      <c r="F269" s="74"/>
      <c r="G269" s="74"/>
      <c r="H269" s="74"/>
      <c r="I269" s="74"/>
      <c r="J269" s="74"/>
      <c r="K269" s="74"/>
    </row>
    <row r="270" spans="3:11">
      <c r="C270" s="74"/>
      <c r="D270" s="74"/>
      <c r="E270" s="74"/>
      <c r="F270" s="74"/>
      <c r="G270" s="74"/>
      <c r="H270" s="74"/>
      <c r="I270" s="74"/>
      <c r="J270" s="74"/>
      <c r="K270" s="74"/>
    </row>
    <row r="271" spans="3:11">
      <c r="C271" s="74"/>
      <c r="D271" s="74"/>
      <c r="E271" s="74"/>
      <c r="F271" s="74"/>
      <c r="G271" s="74"/>
      <c r="H271" s="74"/>
      <c r="I271" s="74"/>
      <c r="J271" s="74"/>
      <c r="K271" s="74"/>
    </row>
    <row r="272" spans="3:11">
      <c r="C272" s="74"/>
      <c r="D272" s="74"/>
      <c r="E272" s="74"/>
      <c r="F272" s="74"/>
      <c r="G272" s="74"/>
      <c r="H272" s="74"/>
      <c r="I272" s="74"/>
      <c r="J272" s="74"/>
      <c r="K272" s="74"/>
    </row>
    <row r="273" spans="3:11">
      <c r="C273" s="74"/>
      <c r="D273" s="74"/>
      <c r="E273" s="74"/>
      <c r="F273" s="74"/>
      <c r="G273" s="74"/>
      <c r="H273" s="74"/>
      <c r="I273" s="74"/>
      <c r="J273" s="74"/>
      <c r="K273" s="74"/>
    </row>
    <row r="274" spans="3:11">
      <c r="C274" s="74"/>
      <c r="D274" s="74"/>
      <c r="E274" s="74"/>
      <c r="F274" s="74"/>
      <c r="G274" s="74"/>
      <c r="H274" s="74"/>
      <c r="I274" s="74"/>
      <c r="J274" s="74"/>
      <c r="K274" s="74"/>
    </row>
    <row r="275" spans="3:11">
      <c r="C275" s="74"/>
      <c r="D275" s="74"/>
      <c r="E275" s="74"/>
      <c r="F275" s="74"/>
      <c r="G275" s="74"/>
      <c r="H275" s="74"/>
      <c r="I275" s="74"/>
      <c r="J275" s="74"/>
      <c r="K275" s="74"/>
    </row>
    <row r="276" spans="3:11">
      <c r="C276" s="74"/>
      <c r="D276" s="74"/>
      <c r="E276" s="74"/>
      <c r="F276" s="74"/>
      <c r="G276" s="74"/>
      <c r="H276" s="74"/>
      <c r="I276" s="74"/>
      <c r="J276" s="74"/>
      <c r="K276" s="74"/>
    </row>
    <row r="277" spans="3:11">
      <c r="C277" s="74"/>
      <c r="D277" s="74"/>
      <c r="E277" s="74"/>
      <c r="F277" s="74"/>
      <c r="G277" s="74"/>
      <c r="H277" s="74"/>
      <c r="I277" s="74"/>
      <c r="J277" s="74"/>
      <c r="K277" s="74"/>
    </row>
    <row r="278" spans="3:11">
      <c r="C278" s="74"/>
      <c r="D278" s="74"/>
      <c r="E278" s="74"/>
      <c r="F278" s="74"/>
      <c r="G278" s="74"/>
      <c r="H278" s="74"/>
      <c r="I278" s="74"/>
      <c r="J278" s="74"/>
      <c r="K278" s="74"/>
    </row>
    <row r="279" spans="3:11">
      <c r="C279" s="74"/>
      <c r="D279" s="74"/>
      <c r="E279" s="74"/>
      <c r="F279" s="74"/>
      <c r="G279" s="74"/>
      <c r="H279" s="74"/>
      <c r="I279" s="74"/>
      <c r="J279" s="74"/>
      <c r="K279" s="74"/>
    </row>
    <row r="280" spans="3:11">
      <c r="C280" s="74"/>
      <c r="D280" s="74"/>
      <c r="E280" s="74"/>
      <c r="F280" s="74"/>
      <c r="G280" s="74"/>
      <c r="H280" s="74"/>
      <c r="I280" s="74"/>
      <c r="J280" s="74"/>
      <c r="K280" s="74"/>
    </row>
    <row r="281" spans="3:11">
      <c r="C281" s="74"/>
      <c r="D281" s="74"/>
      <c r="E281" s="74"/>
      <c r="F281" s="74"/>
      <c r="G281" s="74"/>
      <c r="H281" s="74"/>
      <c r="I281" s="74"/>
      <c r="J281" s="74"/>
      <c r="K281" s="74"/>
    </row>
    <row r="282" spans="3:11">
      <c r="C282" s="74"/>
      <c r="D282" s="74"/>
      <c r="E282" s="74"/>
      <c r="F282" s="74"/>
      <c r="G282" s="74"/>
      <c r="H282" s="74"/>
      <c r="I282" s="74"/>
      <c r="J282" s="74"/>
      <c r="K282" s="74"/>
    </row>
    <row r="283" spans="3:11">
      <c r="C283" s="74"/>
      <c r="D283" s="74"/>
      <c r="E283" s="74"/>
      <c r="F283" s="74"/>
      <c r="G283" s="74"/>
      <c r="H283" s="74"/>
      <c r="I283" s="74"/>
      <c r="J283" s="74"/>
      <c r="K283" s="74"/>
    </row>
    <row r="284" spans="3:11">
      <c r="C284" s="74"/>
      <c r="D284" s="74"/>
      <c r="E284" s="74"/>
      <c r="F284" s="74"/>
      <c r="G284" s="74"/>
      <c r="H284" s="74"/>
      <c r="I284" s="74"/>
      <c r="J284" s="74"/>
      <c r="K284" s="74"/>
    </row>
    <row r="285" spans="3:11">
      <c r="C285" s="74"/>
      <c r="D285" s="74"/>
      <c r="E285" s="74"/>
      <c r="F285" s="74"/>
      <c r="G285" s="74"/>
      <c r="H285" s="74"/>
      <c r="I285" s="74"/>
      <c r="J285" s="74"/>
      <c r="K285" s="74"/>
    </row>
    <row r="286" spans="3:11">
      <c r="C286" s="74"/>
      <c r="D286" s="74"/>
      <c r="E286" s="74"/>
      <c r="F286" s="74"/>
      <c r="G286" s="74"/>
      <c r="H286" s="74"/>
      <c r="I286" s="74"/>
      <c r="J286" s="74"/>
      <c r="K286" s="74"/>
    </row>
    <row r="287" spans="3:11">
      <c r="C287" s="74"/>
      <c r="D287" s="74"/>
      <c r="E287" s="74"/>
      <c r="F287" s="74"/>
      <c r="G287" s="74"/>
      <c r="H287" s="74"/>
      <c r="I287" s="74"/>
      <c r="J287" s="74"/>
      <c r="K287" s="74"/>
    </row>
    <row r="288" spans="3:11">
      <c r="C288" s="74"/>
      <c r="D288" s="74"/>
      <c r="E288" s="74"/>
      <c r="F288" s="74"/>
      <c r="G288" s="74"/>
      <c r="H288" s="74"/>
      <c r="I288" s="74"/>
      <c r="J288" s="74"/>
      <c r="K288" s="74"/>
    </row>
    <row r="289" spans="3:11">
      <c r="C289" s="74"/>
      <c r="D289" s="74"/>
      <c r="E289" s="74"/>
      <c r="F289" s="74"/>
      <c r="G289" s="74"/>
      <c r="H289" s="74"/>
      <c r="I289" s="74"/>
      <c r="J289" s="74"/>
      <c r="K289" s="74"/>
    </row>
    <row r="290" spans="3:11">
      <c r="C290" s="74"/>
      <c r="D290" s="74"/>
      <c r="E290" s="74"/>
      <c r="F290" s="74"/>
      <c r="G290" s="74"/>
      <c r="H290" s="74"/>
      <c r="I290" s="74"/>
      <c r="J290" s="74"/>
      <c r="K290" s="74"/>
    </row>
    <row r="291" spans="3:11">
      <c r="C291" s="74"/>
      <c r="D291" s="74"/>
      <c r="E291" s="74"/>
      <c r="F291" s="74"/>
      <c r="G291" s="74"/>
      <c r="H291" s="74"/>
      <c r="I291" s="74"/>
      <c r="J291" s="74"/>
      <c r="K291" s="74"/>
    </row>
    <row r="292" spans="3:11">
      <c r="C292" s="74"/>
      <c r="D292" s="74"/>
      <c r="E292" s="74"/>
      <c r="F292" s="74"/>
      <c r="G292" s="74"/>
      <c r="H292" s="74"/>
      <c r="I292" s="74"/>
      <c r="J292" s="74"/>
      <c r="K292" s="74"/>
    </row>
    <row r="293" spans="3:11">
      <c r="C293" s="74"/>
      <c r="D293" s="74"/>
      <c r="E293" s="74"/>
      <c r="F293" s="74"/>
      <c r="G293" s="74"/>
      <c r="H293" s="74"/>
      <c r="I293" s="74"/>
      <c r="J293" s="74"/>
      <c r="K293" s="74"/>
    </row>
    <row r="294" spans="3:11">
      <c r="C294" s="74"/>
      <c r="D294" s="74"/>
      <c r="E294" s="74"/>
      <c r="F294" s="74"/>
      <c r="G294" s="74"/>
      <c r="H294" s="74"/>
      <c r="I294" s="74"/>
      <c r="J294" s="74"/>
      <c r="K294" s="74"/>
    </row>
    <row r="295" spans="3:11">
      <c r="C295" s="74"/>
      <c r="D295" s="74"/>
      <c r="E295" s="74"/>
      <c r="F295" s="74"/>
      <c r="G295" s="74"/>
      <c r="H295" s="74"/>
      <c r="I295" s="74"/>
      <c r="J295" s="74"/>
      <c r="K295" s="74"/>
    </row>
    <row r="296" spans="3:11">
      <c r="C296" s="74"/>
      <c r="D296" s="74"/>
      <c r="E296" s="74"/>
      <c r="F296" s="74"/>
      <c r="G296" s="74"/>
      <c r="H296" s="74"/>
      <c r="I296" s="74"/>
      <c r="J296" s="74"/>
      <c r="K296" s="74"/>
    </row>
    <row r="297" spans="3:11"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3:11">
      <c r="C298" s="74"/>
      <c r="D298" s="74"/>
      <c r="E298" s="74"/>
      <c r="F298" s="74"/>
      <c r="G298" s="74"/>
      <c r="H298" s="74"/>
      <c r="I298" s="74"/>
      <c r="J298" s="74"/>
      <c r="K298" s="74"/>
    </row>
    <row r="299" spans="3:11">
      <c r="C299" s="74"/>
      <c r="D299" s="74"/>
      <c r="E299" s="74"/>
      <c r="F299" s="74"/>
      <c r="G299" s="74"/>
      <c r="H299" s="74"/>
      <c r="I299" s="74"/>
      <c r="J299" s="74"/>
      <c r="K299" s="74"/>
    </row>
    <row r="300" spans="3:11">
      <c r="C300" s="74"/>
      <c r="D300" s="74"/>
      <c r="E300" s="74"/>
      <c r="F300" s="74"/>
      <c r="G300" s="74"/>
      <c r="H300" s="74"/>
      <c r="I300" s="74"/>
      <c r="J300" s="74"/>
      <c r="K300" s="74"/>
    </row>
    <row r="301" spans="3:11">
      <c r="C301" s="74"/>
      <c r="D301" s="74"/>
      <c r="E301" s="74"/>
      <c r="F301" s="74"/>
      <c r="G301" s="74"/>
      <c r="H301" s="74"/>
      <c r="I301" s="74"/>
      <c r="J301" s="74"/>
      <c r="K301" s="74"/>
    </row>
    <row r="302" spans="3:11">
      <c r="C302" s="74"/>
      <c r="D302" s="74"/>
      <c r="E302" s="74"/>
      <c r="F302" s="74"/>
      <c r="G302" s="74"/>
      <c r="H302" s="74"/>
      <c r="I302" s="74"/>
      <c r="J302" s="74"/>
      <c r="K302" s="74"/>
    </row>
    <row r="303" spans="3:11">
      <c r="C303" s="74"/>
      <c r="D303" s="74"/>
      <c r="E303" s="74"/>
      <c r="F303" s="74"/>
      <c r="G303" s="74"/>
      <c r="H303" s="74"/>
      <c r="I303" s="74"/>
      <c r="J303" s="74"/>
      <c r="K303" s="74"/>
    </row>
    <row r="304" spans="3:11">
      <c r="C304" s="74"/>
      <c r="D304" s="74"/>
      <c r="E304" s="74"/>
      <c r="F304" s="74"/>
      <c r="G304" s="74"/>
      <c r="H304" s="74"/>
      <c r="I304" s="74"/>
      <c r="J304" s="74"/>
      <c r="K304" s="74"/>
    </row>
    <row r="305" spans="3:11">
      <c r="C305" s="74"/>
      <c r="D305" s="74"/>
      <c r="E305" s="74"/>
      <c r="F305" s="74"/>
      <c r="G305" s="74"/>
      <c r="H305" s="74"/>
      <c r="I305" s="74"/>
      <c r="J305" s="74"/>
      <c r="K305" s="74"/>
    </row>
    <row r="306" spans="3:11">
      <c r="C306" s="74"/>
      <c r="D306" s="74"/>
      <c r="E306" s="74"/>
      <c r="F306" s="74"/>
      <c r="G306" s="74"/>
      <c r="H306" s="74"/>
      <c r="I306" s="74"/>
      <c r="J306" s="74"/>
      <c r="K306" s="74"/>
    </row>
    <row r="307" spans="3:11">
      <c r="C307" s="74"/>
      <c r="D307" s="74"/>
      <c r="E307" s="74"/>
      <c r="F307" s="74"/>
      <c r="G307" s="74"/>
      <c r="H307" s="74"/>
      <c r="I307" s="74"/>
      <c r="J307" s="74"/>
      <c r="K307" s="74"/>
    </row>
    <row r="308" spans="3:11">
      <c r="C308" s="74"/>
      <c r="D308" s="74"/>
      <c r="E308" s="74"/>
      <c r="F308" s="74"/>
      <c r="G308" s="74"/>
      <c r="H308" s="74"/>
      <c r="I308" s="74"/>
      <c r="J308" s="74"/>
      <c r="K308" s="74"/>
    </row>
    <row r="309" spans="3:11">
      <c r="C309" s="74"/>
      <c r="D309" s="74"/>
      <c r="E309" s="74"/>
      <c r="F309" s="74"/>
      <c r="G309" s="74"/>
      <c r="H309" s="74"/>
      <c r="I309" s="74"/>
      <c r="J309" s="74"/>
      <c r="K309" s="74"/>
    </row>
    <row r="310" spans="3:11">
      <c r="C310" s="74"/>
      <c r="D310" s="74"/>
      <c r="E310" s="74"/>
      <c r="F310" s="74"/>
      <c r="G310" s="74"/>
      <c r="H310" s="74"/>
      <c r="I310" s="74"/>
      <c r="J310" s="74"/>
      <c r="K310" s="74"/>
    </row>
    <row r="311" spans="3:11">
      <c r="C311" s="74"/>
      <c r="D311" s="74"/>
      <c r="E311" s="74"/>
      <c r="F311" s="74"/>
      <c r="G311" s="74"/>
      <c r="H311" s="74"/>
      <c r="I311" s="74"/>
      <c r="J311" s="74"/>
      <c r="K311" s="74"/>
    </row>
    <row r="312" spans="3:11">
      <c r="C312" s="74"/>
      <c r="D312" s="74"/>
      <c r="E312" s="74"/>
      <c r="F312" s="74"/>
      <c r="G312" s="74"/>
      <c r="H312" s="74"/>
      <c r="I312" s="74"/>
      <c r="J312" s="74"/>
      <c r="K312" s="74"/>
    </row>
    <row r="313" spans="3:11">
      <c r="C313" s="74"/>
      <c r="D313" s="74"/>
      <c r="E313" s="74"/>
      <c r="F313" s="74"/>
      <c r="G313" s="74"/>
      <c r="H313" s="74"/>
      <c r="I313" s="74"/>
      <c r="J313" s="74"/>
      <c r="K313" s="74"/>
    </row>
    <row r="314" spans="3:11">
      <c r="C314" s="74"/>
      <c r="D314" s="74"/>
      <c r="E314" s="74"/>
      <c r="F314" s="74"/>
      <c r="G314" s="74"/>
      <c r="H314" s="74"/>
      <c r="I314" s="74"/>
      <c r="J314" s="74"/>
      <c r="K314" s="74"/>
    </row>
    <row r="315" spans="3:11">
      <c r="C315" s="74"/>
      <c r="D315" s="74"/>
      <c r="E315" s="74"/>
      <c r="F315" s="74"/>
      <c r="G315" s="74"/>
      <c r="H315" s="74"/>
      <c r="I315" s="74"/>
      <c r="J315" s="74"/>
      <c r="K315" s="74"/>
    </row>
    <row r="316" spans="3:11">
      <c r="C316" s="74"/>
      <c r="D316" s="74"/>
      <c r="E316" s="74"/>
      <c r="F316" s="74"/>
      <c r="G316" s="74"/>
      <c r="H316" s="74"/>
      <c r="I316" s="74"/>
      <c r="J316" s="74"/>
      <c r="K316" s="74"/>
    </row>
    <row r="317" spans="3:11">
      <c r="C317" s="74"/>
      <c r="D317" s="74"/>
      <c r="E317" s="74"/>
      <c r="F317" s="74"/>
      <c r="G317" s="74"/>
      <c r="H317" s="74"/>
      <c r="I317" s="74"/>
      <c r="J317" s="74"/>
      <c r="K317" s="74"/>
    </row>
    <row r="318" spans="3:11">
      <c r="C318" s="74"/>
      <c r="D318" s="74"/>
      <c r="E318" s="74"/>
      <c r="F318" s="74"/>
      <c r="G318" s="74"/>
      <c r="H318" s="74"/>
      <c r="I318" s="74"/>
      <c r="J318" s="74"/>
      <c r="K318" s="74"/>
    </row>
    <row r="319" spans="3:11">
      <c r="C319" s="74"/>
      <c r="D319" s="74"/>
      <c r="E319" s="74"/>
      <c r="F319" s="74"/>
      <c r="G319" s="74"/>
      <c r="H319" s="74"/>
      <c r="I319" s="74"/>
      <c r="J319" s="74"/>
      <c r="K319" s="74"/>
    </row>
    <row r="320" spans="3:11">
      <c r="C320" s="74"/>
      <c r="D320" s="74"/>
      <c r="E320" s="74"/>
      <c r="F320" s="74"/>
      <c r="G320" s="74"/>
      <c r="H320" s="74"/>
      <c r="I320" s="74"/>
      <c r="J320" s="74"/>
      <c r="K320" s="74"/>
    </row>
    <row r="321" spans="3:11">
      <c r="C321" s="74"/>
      <c r="D321" s="74"/>
      <c r="E321" s="74"/>
      <c r="F321" s="74"/>
      <c r="G321" s="74"/>
      <c r="H321" s="74"/>
      <c r="I321" s="74"/>
      <c r="J321" s="74"/>
      <c r="K321" s="74"/>
    </row>
    <row r="322" spans="3:11"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3:11"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3:11">
      <c r="C324" s="74"/>
      <c r="D324" s="74"/>
      <c r="E324" s="74"/>
      <c r="F324" s="74"/>
      <c r="G324" s="74"/>
      <c r="H324" s="74"/>
      <c r="I324" s="74"/>
      <c r="J324" s="74"/>
      <c r="K324" s="74"/>
    </row>
    <row r="325" spans="3:11"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3:11">
      <c r="C326" s="74"/>
      <c r="D326" s="74"/>
      <c r="E326" s="74"/>
      <c r="F326" s="74"/>
      <c r="G326" s="74"/>
      <c r="H326" s="74"/>
      <c r="I326" s="74"/>
      <c r="J326" s="74"/>
      <c r="K326" s="74"/>
    </row>
    <row r="327" spans="3:11"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3:11">
      <c r="C328" s="74"/>
      <c r="D328" s="74"/>
      <c r="E328" s="74"/>
      <c r="F328" s="74"/>
      <c r="G328" s="74"/>
      <c r="H328" s="74"/>
      <c r="I328" s="74"/>
      <c r="J328" s="74"/>
      <c r="K328" s="74"/>
    </row>
    <row r="329" spans="3:11">
      <c r="C329" s="74"/>
      <c r="D329" s="74"/>
      <c r="E329" s="74"/>
      <c r="F329" s="74"/>
      <c r="G329" s="74"/>
      <c r="H329" s="74"/>
      <c r="I329" s="74"/>
      <c r="J329" s="74"/>
      <c r="K329" s="74"/>
    </row>
    <row r="330" spans="3:11">
      <c r="C330" s="74"/>
      <c r="D330" s="74"/>
      <c r="E330" s="74"/>
      <c r="F330" s="74"/>
      <c r="G330" s="74"/>
      <c r="H330" s="74"/>
      <c r="I330" s="74"/>
      <c r="J330" s="74"/>
      <c r="K330" s="74"/>
    </row>
    <row r="331" spans="3:11">
      <c r="C331" s="74"/>
      <c r="D331" s="74"/>
      <c r="E331" s="74"/>
      <c r="F331" s="74"/>
      <c r="G331" s="74"/>
      <c r="H331" s="74"/>
      <c r="I331" s="74"/>
      <c r="J331" s="74"/>
      <c r="K331" s="74"/>
    </row>
    <row r="332" spans="3:11">
      <c r="C332" s="74"/>
      <c r="D332" s="74"/>
      <c r="E332" s="74"/>
      <c r="F332" s="74"/>
      <c r="G332" s="74"/>
      <c r="H332" s="74"/>
      <c r="I332" s="74"/>
      <c r="J332" s="74"/>
      <c r="K332" s="74"/>
    </row>
    <row r="333" spans="3:11">
      <c r="C333" s="74"/>
      <c r="D333" s="74"/>
      <c r="E333" s="74"/>
      <c r="F333" s="74"/>
      <c r="G333" s="74"/>
      <c r="H333" s="74"/>
      <c r="I333" s="74"/>
      <c r="J333" s="74"/>
      <c r="K333" s="74"/>
    </row>
    <row r="334" spans="3:11">
      <c r="C334" s="74"/>
      <c r="D334" s="74"/>
      <c r="E334" s="74"/>
      <c r="F334" s="74"/>
      <c r="G334" s="74"/>
      <c r="H334" s="74"/>
      <c r="I334" s="74"/>
      <c r="J334" s="74"/>
      <c r="K334" s="74"/>
    </row>
    <row r="335" spans="3:11">
      <c r="C335" s="74"/>
      <c r="D335" s="74"/>
      <c r="E335" s="74"/>
      <c r="F335" s="74"/>
      <c r="G335" s="74"/>
      <c r="H335" s="74"/>
      <c r="I335" s="74"/>
      <c r="J335" s="74"/>
      <c r="K335" s="74"/>
    </row>
    <row r="336" spans="3:11">
      <c r="C336" s="74"/>
      <c r="D336" s="74"/>
      <c r="E336" s="74"/>
      <c r="F336" s="74"/>
      <c r="G336" s="74"/>
      <c r="H336" s="74"/>
      <c r="I336" s="74"/>
      <c r="J336" s="74"/>
      <c r="K336" s="74"/>
    </row>
    <row r="337" spans="3:11">
      <c r="C337" s="74"/>
      <c r="D337" s="74"/>
      <c r="E337" s="74"/>
      <c r="F337" s="74"/>
      <c r="G337" s="74"/>
      <c r="H337" s="74"/>
      <c r="I337" s="74"/>
      <c r="J337" s="74"/>
      <c r="K337" s="74"/>
    </row>
    <row r="338" spans="3:11">
      <c r="C338" s="74"/>
      <c r="D338" s="74"/>
      <c r="E338" s="74"/>
      <c r="F338" s="74"/>
      <c r="G338" s="74"/>
      <c r="H338" s="74"/>
      <c r="I338" s="74"/>
      <c r="J338" s="74"/>
      <c r="K338" s="74"/>
    </row>
    <row r="339" spans="3:11">
      <c r="C339" s="74"/>
      <c r="D339" s="74"/>
      <c r="E339" s="74"/>
      <c r="F339" s="74"/>
      <c r="G339" s="74"/>
      <c r="H339" s="74"/>
      <c r="I339" s="74"/>
      <c r="J339" s="74"/>
      <c r="K339" s="74"/>
    </row>
    <row r="340" spans="3:11">
      <c r="C340" s="74"/>
      <c r="D340" s="74"/>
      <c r="E340" s="74"/>
      <c r="F340" s="74"/>
      <c r="G340" s="74"/>
      <c r="H340" s="74"/>
      <c r="I340" s="74"/>
      <c r="J340" s="74"/>
      <c r="K340" s="74"/>
    </row>
    <row r="341" spans="3:11">
      <c r="C341" s="74"/>
      <c r="D341" s="74"/>
      <c r="E341" s="74"/>
      <c r="F341" s="74"/>
      <c r="G341" s="74"/>
      <c r="H341" s="74"/>
      <c r="I341" s="74"/>
      <c r="J341" s="74"/>
      <c r="K341" s="74"/>
    </row>
    <row r="342" spans="3:11">
      <c r="C342" s="74"/>
      <c r="D342" s="74"/>
      <c r="E342" s="74"/>
      <c r="F342" s="74"/>
      <c r="G342" s="74"/>
      <c r="H342" s="74"/>
      <c r="I342" s="74"/>
      <c r="J342" s="74"/>
      <c r="K342" s="74"/>
    </row>
    <row r="343" spans="3:11">
      <c r="C343" s="74"/>
      <c r="D343" s="74"/>
      <c r="E343" s="74"/>
      <c r="F343" s="74"/>
      <c r="G343" s="74"/>
      <c r="H343" s="74"/>
      <c r="I343" s="74"/>
      <c r="J343" s="74"/>
      <c r="K343" s="74"/>
    </row>
    <row r="344" spans="3:11">
      <c r="C344" s="74"/>
      <c r="D344" s="74"/>
      <c r="E344" s="74"/>
      <c r="F344" s="74"/>
      <c r="G344" s="74"/>
      <c r="H344" s="74"/>
      <c r="I344" s="74"/>
      <c r="J344" s="74"/>
      <c r="K344" s="74"/>
    </row>
    <row r="345" spans="3:11">
      <c r="C345" s="74"/>
      <c r="D345" s="74"/>
      <c r="E345" s="74"/>
      <c r="F345" s="74"/>
      <c r="G345" s="74"/>
      <c r="H345" s="74"/>
      <c r="I345" s="74"/>
      <c r="J345" s="74"/>
      <c r="K345" s="74"/>
    </row>
    <row r="346" spans="3:11">
      <c r="C346" s="74"/>
      <c r="D346" s="74"/>
      <c r="E346" s="74"/>
      <c r="F346" s="74"/>
      <c r="G346" s="74"/>
      <c r="H346" s="74"/>
      <c r="I346" s="74"/>
      <c r="J346" s="74"/>
      <c r="K346" s="74"/>
    </row>
    <row r="347" spans="3:11">
      <c r="C347" s="74"/>
      <c r="D347" s="74"/>
      <c r="E347" s="74"/>
      <c r="F347" s="74"/>
      <c r="G347" s="74"/>
      <c r="H347" s="74"/>
      <c r="I347" s="74"/>
      <c r="J347" s="74"/>
      <c r="K347" s="74"/>
    </row>
    <row r="348" spans="3:11">
      <c r="C348" s="74"/>
      <c r="D348" s="74"/>
      <c r="E348" s="74"/>
      <c r="F348" s="74"/>
      <c r="G348" s="74"/>
      <c r="H348" s="74"/>
      <c r="I348" s="74"/>
      <c r="J348" s="74"/>
      <c r="K348" s="74"/>
    </row>
    <row r="349" spans="3:11">
      <c r="C349" s="74"/>
      <c r="D349" s="74"/>
      <c r="E349" s="74"/>
      <c r="F349" s="74"/>
      <c r="G349" s="74"/>
      <c r="H349" s="74"/>
      <c r="I349" s="74"/>
      <c r="J349" s="74"/>
      <c r="K349" s="74"/>
    </row>
    <row r="350" spans="3:11">
      <c r="C350" s="74"/>
      <c r="D350" s="74"/>
      <c r="E350" s="74"/>
      <c r="F350" s="74"/>
      <c r="G350" s="74"/>
      <c r="H350" s="74"/>
      <c r="I350" s="74"/>
      <c r="J350" s="74"/>
      <c r="K350" s="74"/>
    </row>
    <row r="351" spans="3:11">
      <c r="C351" s="74"/>
      <c r="D351" s="74"/>
      <c r="E351" s="74"/>
      <c r="F351" s="74"/>
      <c r="G351" s="74"/>
      <c r="H351" s="74"/>
      <c r="I351" s="74"/>
      <c r="J351" s="74"/>
      <c r="K351" s="74"/>
    </row>
    <row r="352" spans="3:11">
      <c r="C352" s="74"/>
      <c r="D352" s="74"/>
      <c r="E352" s="74"/>
      <c r="F352" s="74"/>
      <c r="G352" s="74"/>
      <c r="H352" s="74"/>
      <c r="I352" s="74"/>
      <c r="J352" s="74"/>
      <c r="K352" s="74"/>
    </row>
    <row r="353" spans="3:11">
      <c r="C353" s="74"/>
      <c r="D353" s="74"/>
      <c r="E353" s="74"/>
      <c r="F353" s="74"/>
      <c r="G353" s="74"/>
      <c r="H353" s="74"/>
      <c r="I353" s="74"/>
      <c r="J353" s="74"/>
      <c r="K353" s="74"/>
    </row>
    <row r="354" spans="3:11">
      <c r="C354" s="74"/>
      <c r="D354" s="74"/>
      <c r="E354" s="74"/>
      <c r="F354" s="74"/>
      <c r="G354" s="74"/>
      <c r="H354" s="74"/>
      <c r="I354" s="74"/>
      <c r="J354" s="74"/>
      <c r="K354" s="74"/>
    </row>
    <row r="355" spans="3:11">
      <c r="C355" s="74"/>
      <c r="D355" s="74"/>
      <c r="E355" s="74"/>
      <c r="F355" s="74"/>
      <c r="G355" s="74"/>
      <c r="H355" s="74"/>
      <c r="I355" s="74"/>
      <c r="J355" s="74"/>
      <c r="K355" s="74"/>
    </row>
    <row r="356" spans="3:11">
      <c r="C356" s="74"/>
      <c r="D356" s="74"/>
      <c r="E356" s="74"/>
      <c r="F356" s="74"/>
      <c r="G356" s="74"/>
      <c r="H356" s="74"/>
      <c r="I356" s="74"/>
      <c r="J356" s="74"/>
      <c r="K356" s="74"/>
    </row>
    <row r="357" spans="3:11">
      <c r="C357" s="74"/>
      <c r="D357" s="74"/>
      <c r="E357" s="74"/>
      <c r="F357" s="74"/>
      <c r="G357" s="74"/>
      <c r="H357" s="74"/>
      <c r="I357" s="74"/>
      <c r="J357" s="74"/>
      <c r="K357" s="74"/>
    </row>
    <row r="358" spans="3:11">
      <c r="C358" s="74"/>
      <c r="D358" s="74"/>
      <c r="E358" s="74"/>
      <c r="F358" s="74"/>
      <c r="G358" s="74"/>
      <c r="H358" s="74"/>
      <c r="I358" s="74"/>
      <c r="J358" s="74"/>
      <c r="K358" s="74"/>
    </row>
    <row r="359" spans="3:11">
      <c r="C359" s="74"/>
      <c r="D359" s="74"/>
      <c r="E359" s="74"/>
      <c r="F359" s="74"/>
      <c r="G359" s="74"/>
      <c r="H359" s="74"/>
      <c r="I359" s="74"/>
      <c r="J359" s="74"/>
      <c r="K359" s="74"/>
    </row>
    <row r="360" spans="3:11">
      <c r="C360" s="74"/>
      <c r="D360" s="74"/>
      <c r="E360" s="74"/>
      <c r="F360" s="74"/>
      <c r="G360" s="74"/>
      <c r="H360" s="74"/>
      <c r="I360" s="74"/>
      <c r="J360" s="74"/>
      <c r="K360" s="74"/>
    </row>
    <row r="361" spans="3:11">
      <c r="C361" s="74"/>
      <c r="D361" s="74"/>
      <c r="E361" s="74"/>
      <c r="F361" s="74"/>
      <c r="G361" s="74"/>
      <c r="H361" s="74"/>
      <c r="I361" s="74"/>
      <c r="J361" s="74"/>
      <c r="K361" s="74"/>
    </row>
    <row r="362" spans="3:11">
      <c r="C362" s="74"/>
      <c r="D362" s="74"/>
      <c r="E362" s="74"/>
      <c r="F362" s="74"/>
      <c r="G362" s="74"/>
      <c r="H362" s="74"/>
      <c r="I362" s="74"/>
      <c r="J362" s="74"/>
      <c r="K362" s="74"/>
    </row>
    <row r="363" spans="3:11">
      <c r="C363" s="74"/>
      <c r="D363" s="74"/>
      <c r="E363" s="74"/>
      <c r="F363" s="74"/>
      <c r="G363" s="74"/>
      <c r="H363" s="74"/>
      <c r="I363" s="74"/>
      <c r="J363" s="74"/>
      <c r="K363" s="74"/>
    </row>
    <row r="364" spans="3:11">
      <c r="C364" s="74"/>
      <c r="D364" s="74"/>
      <c r="E364" s="74"/>
      <c r="F364" s="74"/>
      <c r="G364" s="74"/>
      <c r="H364" s="74"/>
      <c r="I364" s="74"/>
      <c r="J364" s="74"/>
      <c r="K364" s="74"/>
    </row>
    <row r="365" spans="3:11">
      <c r="C365" s="74"/>
      <c r="D365" s="74"/>
      <c r="E365" s="74"/>
      <c r="F365" s="74"/>
      <c r="G365" s="74"/>
      <c r="H365" s="74"/>
      <c r="I365" s="74"/>
      <c r="J365" s="74"/>
      <c r="K365" s="74"/>
    </row>
    <row r="366" spans="3:11">
      <c r="C366" s="74"/>
      <c r="D366" s="74"/>
      <c r="E366" s="74"/>
      <c r="F366" s="74"/>
      <c r="G366" s="74"/>
      <c r="H366" s="74"/>
      <c r="I366" s="74"/>
      <c r="J366" s="74"/>
      <c r="K366" s="74"/>
    </row>
    <row r="367" spans="3:11">
      <c r="C367" s="74"/>
      <c r="D367" s="74"/>
      <c r="E367" s="74"/>
      <c r="F367" s="74"/>
      <c r="G367" s="74"/>
      <c r="H367" s="74"/>
      <c r="I367" s="74"/>
      <c r="J367" s="74"/>
      <c r="K367" s="74"/>
    </row>
    <row r="368" spans="3:11">
      <c r="C368" s="74"/>
      <c r="D368" s="74"/>
      <c r="E368" s="74"/>
      <c r="F368" s="74"/>
      <c r="G368" s="74"/>
      <c r="H368" s="74"/>
      <c r="I368" s="74"/>
      <c r="J368" s="74"/>
      <c r="K368" s="74"/>
    </row>
    <row r="369" spans="3:11">
      <c r="C369" s="74"/>
      <c r="D369" s="74"/>
      <c r="E369" s="74"/>
      <c r="F369" s="74"/>
      <c r="G369" s="74"/>
      <c r="H369" s="74"/>
      <c r="I369" s="74"/>
      <c r="J369" s="74"/>
      <c r="K369" s="74"/>
    </row>
    <row r="370" spans="3:11">
      <c r="C370" s="74"/>
      <c r="D370" s="74"/>
      <c r="E370" s="74"/>
      <c r="F370" s="74"/>
      <c r="G370" s="74"/>
      <c r="H370" s="74"/>
      <c r="I370" s="74"/>
      <c r="J370" s="74"/>
      <c r="K370" s="74"/>
    </row>
    <row r="371" spans="3:11">
      <c r="C371" s="74"/>
      <c r="D371" s="74"/>
      <c r="E371" s="74"/>
      <c r="F371" s="74"/>
      <c r="G371" s="74"/>
      <c r="H371" s="74"/>
      <c r="I371" s="74"/>
      <c r="J371" s="74"/>
      <c r="K371" s="74"/>
    </row>
    <row r="372" spans="3:11">
      <c r="C372" s="74"/>
      <c r="D372" s="74"/>
      <c r="E372" s="74"/>
      <c r="F372" s="74"/>
      <c r="G372" s="74"/>
      <c r="H372" s="74"/>
      <c r="I372" s="74"/>
      <c r="J372" s="74"/>
      <c r="K372" s="74"/>
    </row>
    <row r="373" spans="3:11">
      <c r="C373" s="74"/>
      <c r="D373" s="74"/>
      <c r="E373" s="74"/>
      <c r="F373" s="74"/>
      <c r="G373" s="74"/>
      <c r="H373" s="74"/>
      <c r="I373" s="74"/>
      <c r="J373" s="74"/>
      <c r="K373" s="74"/>
    </row>
    <row r="374" spans="3:11">
      <c r="C374" s="74"/>
      <c r="D374" s="74"/>
      <c r="E374" s="74"/>
      <c r="F374" s="74"/>
      <c r="G374" s="74"/>
      <c r="H374" s="74"/>
      <c r="I374" s="74"/>
      <c r="J374" s="74"/>
      <c r="K374" s="74"/>
    </row>
    <row r="375" spans="3:11">
      <c r="C375" s="74"/>
      <c r="D375" s="74"/>
      <c r="E375" s="74"/>
      <c r="F375" s="74"/>
      <c r="G375" s="74"/>
      <c r="H375" s="74"/>
      <c r="I375" s="74"/>
      <c r="J375" s="74"/>
      <c r="K375" s="74"/>
    </row>
    <row r="376" spans="3:11">
      <c r="C376" s="74"/>
      <c r="D376" s="74"/>
      <c r="E376" s="74"/>
      <c r="F376" s="74"/>
      <c r="G376" s="74"/>
      <c r="H376" s="74"/>
      <c r="I376" s="74"/>
      <c r="J376" s="74"/>
      <c r="K376" s="74"/>
    </row>
    <row r="377" spans="3:11">
      <c r="C377" s="74"/>
      <c r="D377" s="74"/>
      <c r="E377" s="74"/>
      <c r="F377" s="74"/>
      <c r="G377" s="74"/>
      <c r="H377" s="74"/>
      <c r="I377" s="74"/>
      <c r="J377" s="74"/>
      <c r="K377" s="74"/>
    </row>
    <row r="378" spans="3:11">
      <c r="C378" s="74"/>
      <c r="D378" s="74"/>
      <c r="E378" s="74"/>
      <c r="F378" s="74"/>
      <c r="G378" s="74"/>
      <c r="H378" s="74"/>
      <c r="I378" s="74"/>
      <c r="J378" s="74"/>
      <c r="K378" s="74"/>
    </row>
    <row r="379" spans="3:11">
      <c r="C379" s="74"/>
      <c r="D379" s="74"/>
      <c r="E379" s="74"/>
      <c r="F379" s="74"/>
      <c r="G379" s="74"/>
      <c r="H379" s="74"/>
      <c r="I379" s="74"/>
      <c r="J379" s="74"/>
      <c r="K379" s="74"/>
    </row>
    <row r="380" spans="3:11">
      <c r="C380" s="74"/>
      <c r="D380" s="74"/>
      <c r="E380" s="74"/>
      <c r="F380" s="74"/>
      <c r="G380" s="74"/>
      <c r="H380" s="74"/>
      <c r="I380" s="74"/>
      <c r="J380" s="74"/>
      <c r="K380" s="74"/>
    </row>
    <row r="381" spans="3:11">
      <c r="C381" s="74"/>
      <c r="D381" s="74"/>
      <c r="E381" s="74"/>
      <c r="F381" s="74"/>
      <c r="G381" s="74"/>
      <c r="H381" s="74"/>
      <c r="I381" s="74"/>
      <c r="J381" s="74"/>
      <c r="K381" s="74"/>
    </row>
    <row r="382" spans="3:11">
      <c r="C382" s="74"/>
      <c r="D382" s="74"/>
      <c r="E382" s="74"/>
      <c r="F382" s="74"/>
      <c r="G382" s="74"/>
      <c r="H382" s="74"/>
      <c r="I382" s="74"/>
      <c r="J382" s="74"/>
      <c r="K382" s="74"/>
    </row>
    <row r="383" spans="3:11">
      <c r="C383" s="74"/>
      <c r="D383" s="74"/>
      <c r="E383" s="74"/>
      <c r="F383" s="74"/>
      <c r="G383" s="74"/>
      <c r="H383" s="74"/>
      <c r="I383" s="74"/>
      <c r="J383" s="74"/>
      <c r="K383" s="74"/>
    </row>
    <row r="384" spans="3:11">
      <c r="C384" s="74"/>
      <c r="D384" s="74"/>
      <c r="E384" s="74"/>
      <c r="F384" s="74"/>
      <c r="G384" s="74"/>
      <c r="H384" s="74"/>
      <c r="I384" s="74"/>
      <c r="J384" s="74"/>
      <c r="K384" s="74"/>
    </row>
    <row r="385" spans="3:11">
      <c r="C385" s="74"/>
      <c r="D385" s="74"/>
      <c r="E385" s="74"/>
      <c r="F385" s="74"/>
      <c r="G385" s="74"/>
      <c r="H385" s="74"/>
      <c r="I385" s="74"/>
      <c r="J385" s="74"/>
      <c r="K385" s="74"/>
    </row>
    <row r="386" spans="3:11">
      <c r="C386" s="74"/>
      <c r="D386" s="74"/>
      <c r="E386" s="74"/>
      <c r="F386" s="74"/>
      <c r="G386" s="74"/>
      <c r="H386" s="74"/>
      <c r="I386" s="74"/>
      <c r="J386" s="74"/>
      <c r="K386" s="74"/>
    </row>
    <row r="387" spans="3:11">
      <c r="C387" s="74"/>
      <c r="D387" s="74"/>
      <c r="E387" s="74"/>
      <c r="F387" s="74"/>
      <c r="G387" s="74"/>
      <c r="H387" s="74"/>
      <c r="I387" s="74"/>
      <c r="J387" s="74"/>
      <c r="K387" s="74"/>
    </row>
    <row r="388" spans="3:11">
      <c r="C388" s="74"/>
      <c r="D388" s="74"/>
      <c r="E388" s="74"/>
      <c r="F388" s="74"/>
      <c r="G388" s="74"/>
      <c r="H388" s="74"/>
      <c r="I388" s="74"/>
      <c r="J388" s="74"/>
      <c r="K388" s="74"/>
    </row>
    <row r="389" spans="3:11">
      <c r="C389" s="74"/>
      <c r="D389" s="74"/>
      <c r="E389" s="74"/>
      <c r="F389" s="74"/>
      <c r="G389" s="74"/>
      <c r="H389" s="74"/>
      <c r="I389" s="74"/>
      <c r="J389" s="74"/>
      <c r="K389" s="74"/>
    </row>
    <row r="390" spans="3:11">
      <c r="C390" s="74"/>
      <c r="D390" s="74"/>
      <c r="E390" s="74"/>
      <c r="F390" s="74"/>
      <c r="G390" s="74"/>
      <c r="H390" s="74"/>
      <c r="I390" s="74"/>
      <c r="J390" s="74"/>
      <c r="K390" s="74"/>
    </row>
    <row r="391" spans="3:11">
      <c r="C391" s="74"/>
      <c r="D391" s="74"/>
      <c r="E391" s="74"/>
      <c r="F391" s="74"/>
      <c r="G391" s="74"/>
      <c r="H391" s="74"/>
      <c r="I391" s="74"/>
      <c r="J391" s="74"/>
      <c r="K391" s="74"/>
    </row>
    <row r="392" spans="3:11">
      <c r="C392" s="74"/>
      <c r="D392" s="74"/>
      <c r="E392" s="74"/>
      <c r="F392" s="74"/>
      <c r="G392" s="74"/>
      <c r="H392" s="74"/>
      <c r="I392" s="74"/>
      <c r="J392" s="74"/>
      <c r="K392" s="74"/>
    </row>
    <row r="393" spans="3:11">
      <c r="C393" s="74"/>
      <c r="D393" s="74"/>
      <c r="E393" s="74"/>
      <c r="F393" s="74"/>
      <c r="G393" s="74"/>
      <c r="H393" s="74"/>
      <c r="I393" s="74"/>
      <c r="J393" s="74"/>
      <c r="K393" s="74"/>
    </row>
    <row r="394" spans="3:11">
      <c r="C394" s="74"/>
      <c r="D394" s="74"/>
      <c r="E394" s="74"/>
      <c r="F394" s="74"/>
      <c r="G394" s="74"/>
      <c r="H394" s="74"/>
      <c r="I394" s="74"/>
      <c r="J394" s="74"/>
      <c r="K394" s="74"/>
    </row>
    <row r="395" spans="3:11">
      <c r="C395" s="74"/>
      <c r="D395" s="74"/>
      <c r="E395" s="74"/>
      <c r="F395" s="74"/>
      <c r="G395" s="74"/>
      <c r="H395" s="74"/>
      <c r="I395" s="74"/>
      <c r="J395" s="74"/>
      <c r="K395" s="74"/>
    </row>
    <row r="396" spans="3:11">
      <c r="C396" s="74"/>
      <c r="D396" s="74"/>
      <c r="E396" s="74"/>
      <c r="F396" s="74"/>
      <c r="G396" s="74"/>
      <c r="H396" s="74"/>
      <c r="I396" s="74"/>
      <c r="J396" s="74"/>
      <c r="K396" s="74"/>
    </row>
    <row r="397" spans="3:11">
      <c r="C397" s="74"/>
      <c r="D397" s="74"/>
      <c r="E397" s="74"/>
      <c r="F397" s="74"/>
      <c r="G397" s="74"/>
      <c r="H397" s="74"/>
      <c r="I397" s="74"/>
      <c r="J397" s="74"/>
      <c r="K397" s="74"/>
    </row>
    <row r="398" spans="3:11">
      <c r="C398" s="74"/>
      <c r="D398" s="74"/>
      <c r="E398" s="74"/>
      <c r="F398" s="74"/>
      <c r="G398" s="74"/>
      <c r="H398" s="74"/>
      <c r="I398" s="74"/>
      <c r="J398" s="74"/>
      <c r="K398" s="74"/>
    </row>
    <row r="399" spans="3:11">
      <c r="C399" s="74"/>
      <c r="D399" s="74"/>
      <c r="E399" s="74"/>
      <c r="F399" s="74"/>
      <c r="G399" s="74"/>
      <c r="H399" s="74"/>
      <c r="I399" s="74"/>
      <c r="J399" s="74"/>
      <c r="K399" s="74"/>
    </row>
    <row r="400" spans="3:11">
      <c r="C400" s="74"/>
      <c r="D400" s="74"/>
      <c r="E400" s="74"/>
      <c r="F400" s="74"/>
      <c r="G400" s="74"/>
      <c r="H400" s="74"/>
      <c r="I400" s="74"/>
      <c r="J400" s="74"/>
      <c r="K400" s="74"/>
    </row>
    <row r="401" spans="3:11">
      <c r="C401" s="74"/>
      <c r="D401" s="74"/>
      <c r="E401" s="74"/>
      <c r="F401" s="74"/>
      <c r="G401" s="74"/>
      <c r="H401" s="74"/>
      <c r="I401" s="74"/>
      <c r="J401" s="74"/>
      <c r="K401" s="74"/>
    </row>
    <row r="402" spans="3:11">
      <c r="C402" s="74"/>
      <c r="D402" s="74"/>
      <c r="E402" s="74"/>
      <c r="F402" s="74"/>
      <c r="G402" s="74"/>
      <c r="H402" s="74"/>
      <c r="I402" s="74"/>
      <c r="J402" s="74"/>
      <c r="K402" s="74"/>
    </row>
    <row r="403" spans="3:11">
      <c r="C403" s="74"/>
      <c r="D403" s="74"/>
      <c r="E403" s="74"/>
      <c r="F403" s="74"/>
      <c r="G403" s="74"/>
      <c r="H403" s="74"/>
      <c r="I403" s="74"/>
      <c r="J403" s="74"/>
      <c r="K403" s="74"/>
    </row>
    <row r="404" spans="3:11">
      <c r="C404" s="74"/>
      <c r="D404" s="74"/>
      <c r="E404" s="74"/>
      <c r="F404" s="74"/>
      <c r="G404" s="74"/>
      <c r="H404" s="74"/>
      <c r="I404" s="74"/>
      <c r="J404" s="74"/>
      <c r="K404" s="74"/>
    </row>
    <row r="405" spans="3:11">
      <c r="C405" s="74"/>
      <c r="D405" s="74"/>
      <c r="E405" s="74"/>
      <c r="F405" s="74"/>
      <c r="G405" s="74"/>
      <c r="H405" s="74"/>
      <c r="I405" s="74"/>
      <c r="J405" s="74"/>
      <c r="K405" s="74"/>
    </row>
    <row r="406" spans="3:11">
      <c r="C406" s="74"/>
      <c r="D406" s="74"/>
      <c r="E406" s="74"/>
      <c r="F406" s="74"/>
      <c r="G406" s="74"/>
      <c r="H406" s="74"/>
      <c r="I406" s="74"/>
      <c r="J406" s="74"/>
      <c r="K406" s="74"/>
    </row>
    <row r="407" spans="3:11">
      <c r="C407" s="74"/>
      <c r="D407" s="74"/>
      <c r="E407" s="74"/>
      <c r="F407" s="74"/>
      <c r="G407" s="74"/>
      <c r="H407" s="74"/>
      <c r="I407" s="74"/>
      <c r="J407" s="74"/>
      <c r="K407" s="74"/>
    </row>
    <row r="408" spans="3:11">
      <c r="C408" s="74"/>
      <c r="D408" s="74"/>
      <c r="E408" s="74"/>
      <c r="F408" s="74"/>
      <c r="G408" s="74"/>
      <c r="H408" s="74"/>
      <c r="I408" s="74"/>
      <c r="J408" s="74"/>
      <c r="K408" s="74"/>
    </row>
    <row r="409" spans="3:11">
      <c r="C409" s="74"/>
      <c r="D409" s="74"/>
      <c r="E409" s="74"/>
      <c r="F409" s="74"/>
      <c r="G409" s="74"/>
      <c r="H409" s="74"/>
      <c r="I409" s="74"/>
      <c r="J409" s="74"/>
      <c r="K409" s="74"/>
    </row>
    <row r="410" spans="3:11">
      <c r="C410" s="74"/>
      <c r="D410" s="74"/>
      <c r="E410" s="74"/>
      <c r="F410" s="74"/>
      <c r="G410" s="74"/>
      <c r="H410" s="74"/>
      <c r="I410" s="74"/>
      <c r="J410" s="74"/>
      <c r="K410" s="74"/>
    </row>
    <row r="411" spans="3:11">
      <c r="C411" s="74"/>
      <c r="D411" s="74"/>
      <c r="E411" s="74"/>
      <c r="F411" s="74"/>
      <c r="G411" s="74"/>
      <c r="H411" s="74"/>
      <c r="I411" s="74"/>
      <c r="J411" s="74"/>
      <c r="K411" s="74"/>
    </row>
    <row r="412" spans="3:11">
      <c r="C412" s="74"/>
      <c r="D412" s="74"/>
      <c r="E412" s="74"/>
      <c r="F412" s="74"/>
      <c r="G412" s="74"/>
      <c r="H412" s="74"/>
      <c r="I412" s="74"/>
      <c r="J412" s="74"/>
      <c r="K412" s="74"/>
    </row>
    <row r="413" spans="3:11">
      <c r="C413" s="74"/>
      <c r="D413" s="74"/>
      <c r="E413" s="74"/>
      <c r="F413" s="74"/>
      <c r="G413" s="74"/>
      <c r="H413" s="74"/>
      <c r="I413" s="74"/>
      <c r="J413" s="74"/>
      <c r="K413" s="74"/>
    </row>
    <row r="414" spans="3:11">
      <c r="C414" s="74"/>
      <c r="D414" s="74"/>
      <c r="E414" s="74"/>
      <c r="F414" s="74"/>
      <c r="G414" s="74"/>
      <c r="H414" s="74"/>
      <c r="I414" s="74"/>
      <c r="J414" s="74"/>
      <c r="K414" s="74"/>
    </row>
    <row r="415" spans="3:11">
      <c r="C415" s="74"/>
      <c r="D415" s="74"/>
      <c r="E415" s="74"/>
      <c r="F415" s="74"/>
      <c r="G415" s="74"/>
      <c r="H415" s="74"/>
      <c r="I415" s="74"/>
      <c r="J415" s="74"/>
      <c r="K415" s="74"/>
    </row>
    <row r="416" spans="3:11">
      <c r="C416" s="74"/>
      <c r="D416" s="74"/>
      <c r="E416" s="74"/>
      <c r="F416" s="74"/>
      <c r="G416" s="74"/>
      <c r="H416" s="74"/>
      <c r="I416" s="74"/>
      <c r="J416" s="74"/>
      <c r="K416" s="74"/>
    </row>
    <row r="417" spans="3:11">
      <c r="C417" s="74"/>
      <c r="D417" s="74"/>
      <c r="E417" s="74"/>
      <c r="F417" s="74"/>
      <c r="G417" s="74"/>
      <c r="H417" s="74"/>
      <c r="I417" s="74"/>
      <c r="J417" s="74"/>
      <c r="K417" s="74"/>
    </row>
    <row r="418" spans="3:11">
      <c r="C418" s="74"/>
      <c r="D418" s="74"/>
      <c r="E418" s="74"/>
      <c r="F418" s="74"/>
      <c r="G418" s="74"/>
      <c r="H418" s="74"/>
      <c r="I418" s="74"/>
      <c r="J418" s="74"/>
      <c r="K418" s="74"/>
    </row>
    <row r="419" spans="3:11">
      <c r="C419" s="74"/>
      <c r="D419" s="74"/>
      <c r="E419" s="74"/>
      <c r="F419" s="74"/>
      <c r="G419" s="74"/>
      <c r="H419" s="74"/>
      <c r="I419" s="74"/>
      <c r="J419" s="74"/>
      <c r="K419" s="74"/>
    </row>
    <row r="420" spans="3:11">
      <c r="C420" s="74"/>
      <c r="D420" s="74"/>
      <c r="E420" s="74"/>
      <c r="F420" s="74"/>
      <c r="G420" s="74"/>
      <c r="H420" s="74"/>
      <c r="I420" s="74"/>
      <c r="J420" s="74"/>
      <c r="K420" s="74"/>
    </row>
    <row r="421" spans="3:11">
      <c r="C421" s="74"/>
      <c r="D421" s="74"/>
      <c r="E421" s="74"/>
      <c r="F421" s="74"/>
      <c r="G421" s="74"/>
      <c r="H421" s="74"/>
      <c r="I421" s="74"/>
      <c r="J421" s="74"/>
      <c r="K421" s="74"/>
    </row>
    <row r="422" spans="3:11">
      <c r="C422" s="74"/>
      <c r="D422" s="74"/>
      <c r="E422" s="74"/>
      <c r="F422" s="74"/>
      <c r="G422" s="74"/>
      <c r="H422" s="74"/>
      <c r="I422" s="74"/>
      <c r="J422" s="74"/>
      <c r="K422" s="74"/>
    </row>
    <row r="423" spans="3:11">
      <c r="C423" s="74"/>
      <c r="D423" s="74"/>
      <c r="E423" s="74"/>
      <c r="F423" s="74"/>
      <c r="G423" s="74"/>
      <c r="H423" s="74"/>
      <c r="I423" s="74"/>
      <c r="J423" s="74"/>
      <c r="K423" s="74"/>
    </row>
    <row r="424" spans="3:11">
      <c r="C424" s="74"/>
      <c r="D424" s="74"/>
      <c r="E424" s="74"/>
      <c r="F424" s="74"/>
      <c r="G424" s="74"/>
      <c r="H424" s="74"/>
      <c r="I424" s="74"/>
      <c r="J424" s="74"/>
      <c r="K424" s="74"/>
    </row>
    <row r="425" spans="3:11">
      <c r="C425" s="74"/>
      <c r="D425" s="74"/>
      <c r="E425" s="74"/>
      <c r="F425" s="74"/>
      <c r="G425" s="74"/>
      <c r="H425" s="74"/>
      <c r="I425" s="74"/>
      <c r="J425" s="74"/>
      <c r="K425" s="74"/>
    </row>
    <row r="426" spans="3:11">
      <c r="C426" s="74"/>
      <c r="D426" s="74"/>
      <c r="E426" s="74"/>
      <c r="F426" s="74"/>
      <c r="G426" s="74"/>
      <c r="H426" s="74"/>
      <c r="I426" s="74"/>
      <c r="J426" s="74"/>
      <c r="K426" s="74"/>
    </row>
    <row r="427" spans="3:11">
      <c r="C427" s="74"/>
      <c r="D427" s="74"/>
      <c r="E427" s="74"/>
      <c r="F427" s="74"/>
      <c r="G427" s="74"/>
      <c r="H427" s="74"/>
      <c r="I427" s="74"/>
      <c r="J427" s="74"/>
      <c r="K427" s="74"/>
    </row>
    <row r="428" spans="3:11">
      <c r="C428" s="74"/>
      <c r="D428" s="74"/>
      <c r="E428" s="74"/>
      <c r="F428" s="74"/>
      <c r="G428" s="74"/>
      <c r="H428" s="74"/>
      <c r="I428" s="74"/>
      <c r="J428" s="74"/>
      <c r="K428" s="74"/>
    </row>
    <row r="429" spans="3:11">
      <c r="C429" s="74"/>
      <c r="D429" s="74"/>
      <c r="E429" s="74"/>
      <c r="F429" s="74"/>
      <c r="G429" s="74"/>
      <c r="H429" s="74"/>
      <c r="I429" s="74"/>
      <c r="J429" s="74"/>
      <c r="K429" s="74"/>
    </row>
    <row r="430" spans="3:11">
      <c r="C430" s="74"/>
      <c r="D430" s="74"/>
      <c r="E430" s="74"/>
      <c r="F430" s="74"/>
      <c r="G430" s="74"/>
      <c r="H430" s="74"/>
      <c r="I430" s="74"/>
      <c r="J430" s="74"/>
      <c r="K430" s="74"/>
    </row>
    <row r="431" spans="3:11">
      <c r="C431" s="74"/>
      <c r="D431" s="74"/>
      <c r="E431" s="74"/>
      <c r="F431" s="74"/>
      <c r="G431" s="74"/>
      <c r="H431" s="74"/>
      <c r="I431" s="74"/>
      <c r="J431" s="74"/>
      <c r="K431" s="74"/>
    </row>
    <row r="432" spans="3:11">
      <c r="C432" s="74"/>
      <c r="D432" s="74"/>
      <c r="E432" s="74"/>
      <c r="F432" s="74"/>
      <c r="G432" s="74"/>
      <c r="H432" s="74"/>
      <c r="I432" s="74"/>
      <c r="J432" s="74"/>
      <c r="K432" s="74"/>
    </row>
    <row r="433" spans="3:11">
      <c r="C433" s="74"/>
      <c r="D433" s="74"/>
      <c r="E433" s="74"/>
      <c r="F433" s="74"/>
      <c r="G433" s="74"/>
      <c r="H433" s="74"/>
      <c r="I433" s="74"/>
      <c r="J433" s="74"/>
      <c r="K433" s="74"/>
    </row>
    <row r="434" spans="3:11">
      <c r="C434" s="74"/>
      <c r="D434" s="74"/>
      <c r="E434" s="74"/>
      <c r="F434" s="74"/>
      <c r="G434" s="74"/>
      <c r="H434" s="74"/>
      <c r="I434" s="74"/>
      <c r="J434" s="74"/>
      <c r="K434" s="74"/>
    </row>
    <row r="435" spans="3:11">
      <c r="C435" s="74"/>
      <c r="D435" s="74"/>
      <c r="E435" s="74"/>
      <c r="F435" s="74"/>
      <c r="G435" s="74"/>
      <c r="H435" s="74"/>
      <c r="I435" s="74"/>
      <c r="J435" s="74"/>
      <c r="K435" s="74"/>
    </row>
    <row r="436" spans="3:11">
      <c r="C436" s="74"/>
      <c r="D436" s="74"/>
      <c r="E436" s="74"/>
      <c r="F436" s="74"/>
      <c r="G436" s="74"/>
      <c r="H436" s="74"/>
      <c r="I436" s="74"/>
      <c r="J436" s="74"/>
      <c r="K436" s="74"/>
    </row>
    <row r="437" spans="3:11">
      <c r="C437" s="74"/>
      <c r="D437" s="74"/>
      <c r="E437" s="74"/>
      <c r="F437" s="74"/>
      <c r="G437" s="74"/>
      <c r="H437" s="74"/>
      <c r="I437" s="74"/>
      <c r="J437" s="74"/>
      <c r="K437" s="74"/>
    </row>
    <row r="438" spans="3:11">
      <c r="C438" s="74"/>
      <c r="D438" s="74"/>
      <c r="E438" s="74"/>
      <c r="F438" s="74"/>
      <c r="G438" s="74"/>
      <c r="H438" s="74"/>
      <c r="I438" s="74"/>
      <c r="J438" s="74"/>
      <c r="K438" s="74"/>
    </row>
    <row r="439" spans="3:11">
      <c r="C439" s="74"/>
      <c r="D439" s="74"/>
      <c r="E439" s="74"/>
      <c r="F439" s="74"/>
      <c r="G439" s="74"/>
      <c r="H439" s="74"/>
      <c r="I439" s="74"/>
      <c r="J439" s="74"/>
      <c r="K439" s="74"/>
    </row>
    <row r="440" spans="3:11">
      <c r="C440" s="74"/>
      <c r="D440" s="74"/>
      <c r="E440" s="74"/>
      <c r="F440" s="74"/>
      <c r="G440" s="74"/>
      <c r="H440" s="74"/>
      <c r="I440" s="74"/>
      <c r="J440" s="74"/>
      <c r="K440" s="74"/>
    </row>
    <row r="441" spans="3:11">
      <c r="C441" s="74"/>
      <c r="D441" s="74"/>
      <c r="E441" s="74"/>
      <c r="F441" s="74"/>
      <c r="G441" s="74"/>
      <c r="H441" s="74"/>
      <c r="I441" s="74"/>
      <c r="J441" s="74"/>
      <c r="K441" s="74"/>
    </row>
    <row r="442" spans="3:11">
      <c r="C442" s="74"/>
      <c r="D442" s="74"/>
      <c r="E442" s="74"/>
      <c r="F442" s="74"/>
      <c r="G442" s="74"/>
      <c r="H442" s="74"/>
      <c r="I442" s="74"/>
      <c r="J442" s="74"/>
      <c r="K442" s="74"/>
    </row>
    <row r="443" spans="3:11">
      <c r="C443" s="74"/>
      <c r="D443" s="74"/>
      <c r="E443" s="74"/>
      <c r="F443" s="74"/>
      <c r="G443" s="74"/>
      <c r="H443" s="74"/>
      <c r="I443" s="74"/>
      <c r="J443" s="74"/>
      <c r="K443" s="74"/>
    </row>
    <row r="444" spans="3:11">
      <c r="C444" s="74"/>
      <c r="D444" s="74"/>
      <c r="E444" s="74"/>
      <c r="F444" s="74"/>
      <c r="G444" s="74"/>
      <c r="H444" s="74"/>
      <c r="I444" s="74"/>
      <c r="J444" s="74"/>
      <c r="K444" s="74"/>
    </row>
    <row r="445" spans="3:11">
      <c r="C445" s="74"/>
      <c r="D445" s="74"/>
      <c r="E445" s="74"/>
      <c r="F445" s="74"/>
      <c r="G445" s="74"/>
      <c r="H445" s="74"/>
      <c r="I445" s="74"/>
      <c r="J445" s="74"/>
      <c r="K445" s="74"/>
    </row>
    <row r="446" spans="3:11">
      <c r="C446" s="74"/>
      <c r="D446" s="74"/>
      <c r="E446" s="74"/>
      <c r="F446" s="74"/>
      <c r="G446" s="74"/>
      <c r="H446" s="74"/>
      <c r="I446" s="74"/>
      <c r="J446" s="74"/>
      <c r="K446" s="74"/>
    </row>
    <row r="447" spans="3:11">
      <c r="C447" s="74"/>
      <c r="D447" s="74"/>
      <c r="E447" s="74"/>
      <c r="F447" s="74"/>
      <c r="G447" s="74"/>
      <c r="H447" s="74"/>
      <c r="I447" s="74"/>
      <c r="J447" s="74"/>
      <c r="K447" s="74"/>
    </row>
    <row r="448" spans="3:11">
      <c r="C448" s="74"/>
      <c r="D448" s="74"/>
      <c r="E448" s="74"/>
      <c r="F448" s="74"/>
      <c r="G448" s="74"/>
      <c r="H448" s="74"/>
      <c r="I448" s="74"/>
      <c r="J448" s="74"/>
      <c r="K448" s="74"/>
    </row>
    <row r="449" spans="3:11">
      <c r="C449" s="74"/>
      <c r="D449" s="74"/>
      <c r="E449" s="74"/>
      <c r="F449" s="74"/>
      <c r="G449" s="74"/>
      <c r="H449" s="74"/>
      <c r="I449" s="74"/>
      <c r="J449" s="74"/>
      <c r="K449" s="74"/>
    </row>
    <row r="450" spans="3:11">
      <c r="C450" s="74"/>
      <c r="D450" s="74"/>
      <c r="E450" s="74"/>
      <c r="F450" s="74"/>
      <c r="G450" s="74"/>
      <c r="H450" s="74"/>
      <c r="I450" s="74"/>
      <c r="J450" s="74"/>
      <c r="K450" s="74"/>
    </row>
    <row r="451" spans="3:11">
      <c r="C451" s="74"/>
      <c r="D451" s="74"/>
      <c r="E451" s="74"/>
      <c r="F451" s="74"/>
      <c r="G451" s="74"/>
      <c r="H451" s="74"/>
      <c r="I451" s="74"/>
      <c r="J451" s="74"/>
      <c r="K451" s="74"/>
    </row>
    <row r="452" spans="3:11">
      <c r="C452" s="74"/>
      <c r="D452" s="74"/>
      <c r="E452" s="74"/>
      <c r="F452" s="74"/>
      <c r="G452" s="74"/>
      <c r="H452" s="74"/>
      <c r="I452" s="74"/>
      <c r="J452" s="74"/>
      <c r="K452" s="74"/>
    </row>
    <row r="453" spans="3:11">
      <c r="C453" s="74"/>
      <c r="D453" s="74"/>
      <c r="E453" s="74"/>
      <c r="F453" s="74"/>
      <c r="G453" s="74"/>
      <c r="H453" s="74"/>
      <c r="I453" s="74"/>
      <c r="J453" s="74"/>
      <c r="K453" s="74"/>
    </row>
    <row r="454" spans="3:11">
      <c r="C454" s="74"/>
      <c r="D454" s="74"/>
      <c r="E454" s="74"/>
      <c r="F454" s="74"/>
      <c r="G454" s="74"/>
      <c r="H454" s="74"/>
      <c r="I454" s="74"/>
      <c r="J454" s="74"/>
      <c r="K454" s="74"/>
    </row>
    <row r="455" spans="3:11">
      <c r="C455" s="74"/>
      <c r="D455" s="74"/>
      <c r="E455" s="74"/>
      <c r="F455" s="74"/>
      <c r="G455" s="74"/>
      <c r="H455" s="74"/>
      <c r="I455" s="74"/>
      <c r="J455" s="74"/>
      <c r="K455" s="74"/>
    </row>
    <row r="456" spans="3:11">
      <c r="C456" s="74"/>
      <c r="D456" s="74"/>
      <c r="E456" s="74"/>
      <c r="F456" s="74"/>
      <c r="G456" s="74"/>
      <c r="H456" s="74"/>
      <c r="I456" s="74"/>
      <c r="J456" s="74"/>
      <c r="K456" s="74"/>
    </row>
    <row r="457" spans="3:11">
      <c r="C457" s="74"/>
      <c r="D457" s="74"/>
      <c r="E457" s="74"/>
      <c r="F457" s="74"/>
      <c r="G457" s="74"/>
      <c r="H457" s="74"/>
      <c r="I457" s="74"/>
      <c r="J457" s="74"/>
      <c r="K457" s="74"/>
    </row>
    <row r="458" spans="3:11">
      <c r="C458" s="74"/>
      <c r="D458" s="74"/>
      <c r="E458" s="74"/>
      <c r="F458" s="74"/>
      <c r="G458" s="74"/>
      <c r="H458" s="74"/>
      <c r="I458" s="74"/>
      <c r="J458" s="74"/>
      <c r="K458" s="74"/>
    </row>
    <row r="459" spans="3:11">
      <c r="C459" s="74"/>
      <c r="D459" s="74"/>
      <c r="E459" s="74"/>
      <c r="F459" s="74"/>
      <c r="G459" s="74"/>
      <c r="H459" s="74"/>
      <c r="I459" s="74"/>
      <c r="J459" s="74"/>
      <c r="K459" s="74"/>
    </row>
    <row r="460" spans="3:11">
      <c r="C460" s="74"/>
      <c r="D460" s="74"/>
      <c r="E460" s="74"/>
      <c r="F460" s="74"/>
      <c r="G460" s="74"/>
      <c r="H460" s="74"/>
      <c r="I460" s="74"/>
      <c r="J460" s="74"/>
      <c r="K460" s="74"/>
    </row>
    <row r="461" spans="3:11">
      <c r="C461" s="74"/>
      <c r="D461" s="74"/>
      <c r="E461" s="74"/>
      <c r="F461" s="74"/>
      <c r="G461" s="74"/>
      <c r="H461" s="74"/>
      <c r="I461" s="74"/>
      <c r="J461" s="74"/>
      <c r="K461" s="74"/>
    </row>
    <row r="462" spans="3:11">
      <c r="C462" s="74"/>
      <c r="D462" s="74"/>
      <c r="E462" s="74"/>
      <c r="F462" s="74"/>
      <c r="G462" s="74"/>
      <c r="H462" s="74"/>
      <c r="I462" s="74"/>
      <c r="J462" s="74"/>
      <c r="K462" s="74"/>
    </row>
    <row r="463" spans="3:11">
      <c r="C463" s="74"/>
      <c r="D463" s="74"/>
      <c r="E463" s="74"/>
      <c r="F463" s="74"/>
      <c r="G463" s="74"/>
      <c r="H463" s="74"/>
      <c r="I463" s="74"/>
      <c r="J463" s="74"/>
      <c r="K463" s="74"/>
    </row>
    <row r="464" spans="3:11">
      <c r="C464" s="74"/>
      <c r="D464" s="74"/>
      <c r="E464" s="74"/>
      <c r="F464" s="74"/>
      <c r="G464" s="74"/>
      <c r="H464" s="74"/>
      <c r="I464" s="74"/>
      <c r="J464" s="74"/>
      <c r="K464" s="74"/>
    </row>
    <row r="465" spans="3:11">
      <c r="C465" s="74"/>
      <c r="D465" s="74"/>
      <c r="E465" s="74"/>
      <c r="F465" s="74"/>
      <c r="G465" s="74"/>
      <c r="H465" s="74"/>
      <c r="I465" s="74"/>
      <c r="J465" s="74"/>
      <c r="K465" s="74"/>
    </row>
    <row r="466" spans="3:11">
      <c r="C466" s="74"/>
      <c r="D466" s="74"/>
      <c r="E466" s="74"/>
      <c r="F466" s="74"/>
      <c r="G466" s="74"/>
      <c r="H466" s="74"/>
      <c r="I466" s="74"/>
      <c r="J466" s="74"/>
      <c r="K466" s="74"/>
    </row>
    <row r="467" spans="3:11">
      <c r="C467" s="74"/>
      <c r="D467" s="74"/>
      <c r="E467" s="74"/>
      <c r="F467" s="74"/>
      <c r="G467" s="74"/>
      <c r="H467" s="74"/>
      <c r="I467" s="74"/>
      <c r="J467" s="74"/>
      <c r="K467" s="74"/>
    </row>
    <row r="468" spans="3:11">
      <c r="C468" s="74"/>
      <c r="D468" s="74"/>
      <c r="E468" s="74"/>
      <c r="F468" s="74"/>
      <c r="G468" s="74"/>
      <c r="H468" s="74"/>
      <c r="I468" s="74"/>
      <c r="J468" s="74"/>
      <c r="K468" s="74"/>
    </row>
    <row r="469" spans="3:11">
      <c r="C469" s="74"/>
      <c r="D469" s="74"/>
      <c r="E469" s="74"/>
      <c r="F469" s="74"/>
      <c r="G469" s="74"/>
      <c r="H469" s="74"/>
      <c r="I469" s="74"/>
      <c r="J469" s="74"/>
      <c r="K469" s="74"/>
    </row>
    <row r="470" spans="3:11">
      <c r="C470" s="74"/>
      <c r="D470" s="74"/>
      <c r="E470" s="74"/>
      <c r="F470" s="74"/>
      <c r="G470" s="74"/>
      <c r="H470" s="74"/>
      <c r="I470" s="74"/>
      <c r="J470" s="74"/>
      <c r="K470" s="74"/>
    </row>
    <row r="471" spans="3:11">
      <c r="C471" s="74"/>
      <c r="D471" s="74"/>
      <c r="E471" s="74"/>
      <c r="F471" s="74"/>
      <c r="G471" s="74"/>
      <c r="H471" s="74"/>
      <c r="I471" s="74"/>
      <c r="J471" s="74"/>
      <c r="K471" s="74"/>
    </row>
    <row r="472" spans="3:11">
      <c r="C472" s="74"/>
      <c r="D472" s="74"/>
      <c r="E472" s="74"/>
      <c r="F472" s="74"/>
      <c r="G472" s="74"/>
      <c r="H472" s="74"/>
      <c r="I472" s="74"/>
      <c r="J472" s="74"/>
      <c r="K472" s="74"/>
    </row>
    <row r="473" spans="3:11">
      <c r="C473" s="74"/>
      <c r="D473" s="74"/>
      <c r="E473" s="74"/>
      <c r="F473" s="74"/>
      <c r="G473" s="74"/>
      <c r="H473" s="74"/>
      <c r="I473" s="74"/>
      <c r="J473" s="74"/>
      <c r="K473" s="74"/>
    </row>
    <row r="474" spans="3:11">
      <c r="C474" s="74"/>
      <c r="D474" s="74"/>
      <c r="E474" s="74"/>
      <c r="F474" s="74"/>
      <c r="G474" s="74"/>
      <c r="H474" s="74"/>
      <c r="I474" s="74"/>
      <c r="J474" s="74"/>
      <c r="K474" s="74"/>
    </row>
    <row r="475" spans="3:11">
      <c r="C475" s="74"/>
      <c r="D475" s="74"/>
      <c r="E475" s="74"/>
      <c r="F475" s="74"/>
      <c r="G475" s="74"/>
      <c r="H475" s="74"/>
      <c r="I475" s="74"/>
      <c r="J475" s="74"/>
      <c r="K475" s="74"/>
    </row>
    <row r="476" spans="3:11">
      <c r="C476" s="74"/>
      <c r="D476" s="74"/>
      <c r="E476" s="74"/>
      <c r="F476" s="74"/>
      <c r="G476" s="74"/>
      <c r="H476" s="74"/>
      <c r="I476" s="74"/>
      <c r="J476" s="74"/>
      <c r="K476" s="74"/>
    </row>
    <row r="477" spans="3:11">
      <c r="C477" s="74"/>
      <c r="D477" s="74"/>
      <c r="E477" s="74"/>
      <c r="F477" s="74"/>
      <c r="G477" s="74"/>
      <c r="H477" s="74"/>
      <c r="I477" s="74"/>
      <c r="J477" s="74"/>
      <c r="K477" s="74"/>
    </row>
    <row r="478" spans="3:11">
      <c r="C478" s="74"/>
      <c r="D478" s="74"/>
      <c r="E478" s="74"/>
      <c r="F478" s="74"/>
      <c r="G478" s="74"/>
      <c r="H478" s="74"/>
      <c r="I478" s="74"/>
      <c r="J478" s="74"/>
      <c r="K478" s="74"/>
    </row>
    <row r="479" spans="3:11">
      <c r="C479" s="74"/>
      <c r="D479" s="74"/>
      <c r="E479" s="74"/>
      <c r="F479" s="74"/>
      <c r="G479" s="74"/>
      <c r="H479" s="74"/>
      <c r="I479" s="74"/>
      <c r="J479" s="74"/>
      <c r="K479" s="74"/>
    </row>
    <row r="480" spans="3:11">
      <c r="C480" s="74"/>
      <c r="D480" s="74"/>
      <c r="E480" s="74"/>
      <c r="F480" s="74"/>
      <c r="G480" s="74"/>
      <c r="H480" s="74"/>
      <c r="I480" s="74"/>
      <c r="J480" s="74"/>
      <c r="K480" s="74"/>
    </row>
    <row r="481" spans="3:11">
      <c r="C481" s="74"/>
      <c r="D481" s="74"/>
      <c r="E481" s="74"/>
      <c r="F481" s="74"/>
      <c r="G481" s="74"/>
      <c r="H481" s="74"/>
      <c r="I481" s="74"/>
      <c r="J481" s="74"/>
      <c r="K481" s="74"/>
    </row>
    <row r="482" spans="3:11">
      <c r="C482" s="74"/>
      <c r="D482" s="74"/>
      <c r="E482" s="74"/>
      <c r="F482" s="74"/>
      <c r="G482" s="74"/>
      <c r="H482" s="74"/>
      <c r="I482" s="74"/>
      <c r="J482" s="74"/>
      <c r="K482" s="74"/>
    </row>
    <row r="483" spans="3:11">
      <c r="C483" s="74"/>
      <c r="D483" s="74"/>
      <c r="E483" s="74"/>
      <c r="F483" s="74"/>
      <c r="G483" s="74"/>
      <c r="H483" s="74"/>
      <c r="I483" s="74"/>
      <c r="J483" s="74"/>
      <c r="K483" s="74"/>
    </row>
    <row r="484" spans="3:11">
      <c r="C484" s="74"/>
      <c r="D484" s="74"/>
      <c r="E484" s="74"/>
      <c r="F484" s="74"/>
      <c r="G484" s="74"/>
      <c r="H484" s="74"/>
      <c r="I484" s="74"/>
      <c r="J484" s="74"/>
      <c r="K484" s="74"/>
    </row>
    <row r="485" spans="3:11">
      <c r="C485" s="74"/>
      <c r="D485" s="74"/>
      <c r="E485" s="74"/>
      <c r="F485" s="74"/>
      <c r="G485" s="74"/>
      <c r="H485" s="74"/>
      <c r="I485" s="74"/>
      <c r="J485" s="74"/>
      <c r="K485" s="74"/>
    </row>
    <row r="486" spans="3:11">
      <c r="C486" s="74"/>
      <c r="D486" s="74"/>
      <c r="E486" s="74"/>
      <c r="F486" s="74"/>
      <c r="G486" s="74"/>
      <c r="H486" s="74"/>
      <c r="I486" s="74"/>
      <c r="J486" s="74"/>
      <c r="K486" s="74"/>
    </row>
    <row r="487" spans="3:11">
      <c r="C487" s="74"/>
      <c r="D487" s="74"/>
      <c r="E487" s="74"/>
      <c r="F487" s="74"/>
      <c r="G487" s="74"/>
      <c r="H487" s="74"/>
      <c r="I487" s="74"/>
      <c r="J487" s="74"/>
      <c r="K487" s="74"/>
    </row>
    <row r="488" spans="3:11">
      <c r="C488" s="74"/>
      <c r="D488" s="74"/>
      <c r="E488" s="74"/>
      <c r="F488" s="74"/>
      <c r="G488" s="74"/>
      <c r="H488" s="74"/>
      <c r="I488" s="74"/>
      <c r="J488" s="74"/>
      <c r="K488" s="74"/>
    </row>
    <row r="489" spans="3:11">
      <c r="C489" s="74"/>
      <c r="D489" s="74"/>
      <c r="E489" s="74"/>
      <c r="F489" s="74"/>
      <c r="G489" s="74"/>
      <c r="H489" s="74"/>
      <c r="I489" s="74"/>
      <c r="J489" s="74"/>
      <c r="K489" s="74"/>
    </row>
    <row r="490" spans="3:11">
      <c r="C490" s="74"/>
      <c r="D490" s="74"/>
      <c r="E490" s="74"/>
      <c r="F490" s="74"/>
      <c r="G490" s="74"/>
      <c r="H490" s="74"/>
      <c r="I490" s="74"/>
      <c r="J490" s="74"/>
      <c r="K490" s="74"/>
    </row>
    <row r="491" spans="3:11">
      <c r="C491" s="74"/>
      <c r="D491" s="74"/>
      <c r="E491" s="74"/>
      <c r="F491" s="74"/>
      <c r="G491" s="74"/>
      <c r="H491" s="74"/>
      <c r="I491" s="74"/>
      <c r="J491" s="74"/>
      <c r="K491" s="74"/>
    </row>
    <row r="492" spans="3:11">
      <c r="C492" s="74"/>
      <c r="D492" s="74"/>
      <c r="E492" s="74"/>
      <c r="F492" s="74"/>
      <c r="G492" s="74"/>
      <c r="H492" s="74"/>
      <c r="I492" s="74"/>
      <c r="J492" s="74"/>
      <c r="K492" s="74"/>
    </row>
    <row r="493" spans="3:11">
      <c r="C493" s="74"/>
      <c r="D493" s="74"/>
      <c r="E493" s="74"/>
      <c r="F493" s="74"/>
      <c r="G493" s="74"/>
      <c r="H493" s="74"/>
      <c r="I493" s="74"/>
      <c r="J493" s="74"/>
      <c r="K493" s="74"/>
    </row>
    <row r="494" spans="3:11">
      <c r="C494" s="74"/>
      <c r="D494" s="74"/>
      <c r="E494" s="74"/>
      <c r="F494" s="74"/>
      <c r="G494" s="74"/>
      <c r="H494" s="74"/>
      <c r="I494" s="74"/>
      <c r="J494" s="74"/>
      <c r="K494" s="74"/>
    </row>
    <row r="495" spans="3:11">
      <c r="C495" s="74"/>
      <c r="D495" s="74"/>
      <c r="E495" s="74"/>
      <c r="F495" s="74"/>
      <c r="G495" s="74"/>
      <c r="H495" s="74"/>
      <c r="I495" s="74"/>
      <c r="J495" s="74"/>
      <c r="K495" s="74"/>
    </row>
    <row r="496" spans="3:11">
      <c r="C496" s="74"/>
      <c r="D496" s="74"/>
      <c r="E496" s="74"/>
      <c r="F496" s="74"/>
      <c r="G496" s="74"/>
      <c r="H496" s="74"/>
      <c r="I496" s="74"/>
      <c r="J496" s="74"/>
      <c r="K496" s="74"/>
    </row>
    <row r="497" spans="3:11">
      <c r="C497" s="74"/>
      <c r="D497" s="74"/>
      <c r="E497" s="74"/>
      <c r="F497" s="74"/>
      <c r="G497" s="74"/>
      <c r="H497" s="74"/>
      <c r="I497" s="74"/>
      <c r="J497" s="74"/>
      <c r="K497" s="74"/>
    </row>
    <row r="498" spans="3:11">
      <c r="C498" s="74"/>
      <c r="D498" s="74"/>
      <c r="E498" s="74"/>
      <c r="F498" s="74"/>
      <c r="G498" s="74"/>
      <c r="H498" s="74"/>
      <c r="I498" s="74"/>
      <c r="J498" s="74"/>
      <c r="K498" s="74"/>
    </row>
    <row r="499" spans="3:11">
      <c r="C499" s="74"/>
      <c r="D499" s="74"/>
      <c r="E499" s="74"/>
      <c r="F499" s="74"/>
      <c r="G499" s="74"/>
      <c r="H499" s="74"/>
      <c r="I499" s="74"/>
      <c r="J499" s="74"/>
      <c r="K499" s="74"/>
    </row>
    <row r="500" spans="3:11">
      <c r="C500" s="74"/>
      <c r="D500" s="74"/>
      <c r="E500" s="74"/>
      <c r="F500" s="74"/>
      <c r="G500" s="74"/>
      <c r="H500" s="74"/>
      <c r="I500" s="74"/>
      <c r="J500" s="74"/>
      <c r="K500" s="74"/>
    </row>
    <row r="501" spans="3:11">
      <c r="C501" s="74"/>
      <c r="D501" s="74"/>
      <c r="E501" s="74"/>
      <c r="F501" s="74"/>
      <c r="G501" s="74"/>
      <c r="H501" s="74"/>
      <c r="I501" s="74"/>
      <c r="J501" s="74"/>
      <c r="K501" s="74"/>
    </row>
    <row r="502" spans="3:11">
      <c r="C502" s="74"/>
      <c r="D502" s="74"/>
      <c r="E502" s="74"/>
      <c r="F502" s="74"/>
      <c r="G502" s="74"/>
      <c r="H502" s="74"/>
      <c r="I502" s="74"/>
      <c r="J502" s="74"/>
      <c r="K502" s="74"/>
    </row>
    <row r="503" spans="3:11">
      <c r="C503" s="74"/>
      <c r="D503" s="74"/>
      <c r="E503" s="74"/>
      <c r="F503" s="74"/>
      <c r="G503" s="74"/>
      <c r="H503" s="74"/>
      <c r="I503" s="74"/>
      <c r="J503" s="74"/>
      <c r="K503" s="74"/>
    </row>
    <row r="504" spans="3:11">
      <c r="C504" s="74"/>
      <c r="D504" s="74"/>
      <c r="E504" s="74"/>
      <c r="F504" s="74"/>
      <c r="G504" s="74"/>
      <c r="H504" s="74"/>
      <c r="I504" s="74"/>
      <c r="J504" s="74"/>
      <c r="K504" s="74"/>
    </row>
    <row r="505" spans="3:11">
      <c r="C505" s="74"/>
      <c r="D505" s="74"/>
      <c r="E505" s="74"/>
      <c r="F505" s="74"/>
      <c r="G505" s="74"/>
      <c r="H505" s="74"/>
      <c r="I505" s="74"/>
      <c r="J505" s="74"/>
      <c r="K505" s="74"/>
    </row>
    <row r="506" spans="3:11">
      <c r="C506" s="74"/>
      <c r="D506" s="74"/>
      <c r="E506" s="74"/>
      <c r="F506" s="74"/>
      <c r="G506" s="74"/>
      <c r="H506" s="74"/>
      <c r="I506" s="74"/>
      <c r="J506" s="74"/>
      <c r="K506" s="74"/>
    </row>
    <row r="507" spans="3:11">
      <c r="C507" s="74"/>
      <c r="D507" s="74"/>
      <c r="E507" s="74"/>
      <c r="F507" s="74"/>
      <c r="G507" s="74"/>
      <c r="H507" s="74"/>
      <c r="I507" s="74"/>
      <c r="J507" s="74"/>
      <c r="K507" s="74"/>
    </row>
    <row r="508" spans="3:11">
      <c r="C508" s="74"/>
      <c r="D508" s="74"/>
      <c r="E508" s="74"/>
      <c r="F508" s="74"/>
      <c r="G508" s="74"/>
      <c r="H508" s="74"/>
      <c r="I508" s="74"/>
      <c r="J508" s="74"/>
      <c r="K508" s="74"/>
    </row>
    <row r="509" spans="3:11">
      <c r="C509" s="74"/>
      <c r="D509" s="74"/>
      <c r="E509" s="74"/>
      <c r="F509" s="74"/>
      <c r="G509" s="74"/>
      <c r="H509" s="74"/>
      <c r="I509" s="74"/>
      <c r="J509" s="74"/>
      <c r="K509" s="74"/>
    </row>
    <row r="510" spans="3:11">
      <c r="C510" s="74"/>
      <c r="D510" s="74"/>
      <c r="E510" s="74"/>
      <c r="F510" s="74"/>
      <c r="G510" s="74"/>
      <c r="H510" s="74"/>
      <c r="I510" s="74"/>
      <c r="J510" s="74"/>
      <c r="K510" s="74"/>
    </row>
    <row r="511" spans="3:11">
      <c r="C511" s="74"/>
      <c r="D511" s="74"/>
      <c r="E511" s="74"/>
      <c r="F511" s="74"/>
      <c r="G511" s="74"/>
      <c r="H511" s="74"/>
      <c r="I511" s="74"/>
      <c r="J511" s="74"/>
      <c r="K511" s="74"/>
    </row>
    <row r="512" spans="3:11">
      <c r="C512" s="74"/>
      <c r="D512" s="74"/>
      <c r="E512" s="74"/>
      <c r="F512" s="74"/>
      <c r="G512" s="74"/>
      <c r="H512" s="74"/>
      <c r="I512" s="74"/>
      <c r="J512" s="74"/>
      <c r="K512" s="74"/>
    </row>
    <row r="513" spans="3:11">
      <c r="C513" s="74"/>
      <c r="D513" s="74"/>
      <c r="E513" s="74"/>
      <c r="F513" s="74"/>
      <c r="G513" s="74"/>
      <c r="H513" s="74"/>
      <c r="I513" s="74"/>
      <c r="J513" s="74"/>
      <c r="K513" s="74"/>
    </row>
    <row r="514" spans="3:11">
      <c r="C514" s="74"/>
      <c r="D514" s="74"/>
      <c r="E514" s="74"/>
      <c r="F514" s="74"/>
      <c r="G514" s="74"/>
      <c r="H514" s="74"/>
      <c r="I514" s="74"/>
      <c r="J514" s="74"/>
      <c r="K514" s="74"/>
    </row>
    <row r="515" spans="3:11">
      <c r="C515" s="74"/>
      <c r="D515" s="74"/>
      <c r="E515" s="74"/>
      <c r="F515" s="74"/>
      <c r="G515" s="74"/>
      <c r="H515" s="74"/>
      <c r="I515" s="74"/>
      <c r="J515" s="74"/>
      <c r="K515" s="74"/>
    </row>
    <row r="516" spans="3:11">
      <c r="C516" s="74"/>
      <c r="D516" s="74"/>
      <c r="E516" s="74"/>
      <c r="F516" s="74"/>
      <c r="G516" s="74"/>
      <c r="H516" s="74"/>
      <c r="I516" s="74"/>
      <c r="J516" s="74"/>
      <c r="K516" s="74"/>
    </row>
    <row r="517" spans="3:11">
      <c r="C517" s="74"/>
      <c r="D517" s="74"/>
      <c r="E517" s="74"/>
      <c r="F517" s="74"/>
      <c r="G517" s="74"/>
      <c r="H517" s="74"/>
      <c r="I517" s="74"/>
      <c r="J517" s="74"/>
      <c r="K517" s="74"/>
    </row>
    <row r="518" spans="3:11">
      <c r="C518" s="74"/>
      <c r="D518" s="74"/>
      <c r="E518" s="74"/>
      <c r="F518" s="74"/>
      <c r="G518" s="74"/>
      <c r="H518" s="74"/>
      <c r="I518" s="74"/>
      <c r="J518" s="74"/>
      <c r="K518" s="74"/>
    </row>
    <row r="519" spans="3:11">
      <c r="C519" s="74"/>
      <c r="D519" s="74"/>
      <c r="E519" s="74"/>
      <c r="F519" s="74"/>
      <c r="G519" s="74"/>
      <c r="H519" s="74"/>
      <c r="I519" s="74"/>
      <c r="J519" s="74"/>
      <c r="K519" s="74"/>
    </row>
    <row r="520" spans="3:11">
      <c r="C520" s="74"/>
      <c r="D520" s="74"/>
      <c r="E520" s="74"/>
      <c r="F520" s="74"/>
      <c r="G520" s="74"/>
      <c r="H520" s="74"/>
      <c r="I520" s="74"/>
      <c r="J520" s="74"/>
      <c r="K520" s="74"/>
    </row>
    <row r="521" spans="3:11">
      <c r="C521" s="74"/>
      <c r="D521" s="74"/>
      <c r="E521" s="74"/>
      <c r="F521" s="74"/>
      <c r="G521" s="74"/>
      <c r="H521" s="74"/>
      <c r="I521" s="74"/>
      <c r="J521" s="74"/>
      <c r="K521" s="74"/>
    </row>
    <row r="522" spans="3:11">
      <c r="C522" s="74"/>
      <c r="D522" s="74"/>
      <c r="E522" s="74"/>
      <c r="F522" s="74"/>
      <c r="G522" s="74"/>
      <c r="H522" s="74"/>
      <c r="I522" s="74"/>
      <c r="J522" s="74"/>
      <c r="K522" s="74"/>
    </row>
    <row r="523" spans="3:11">
      <c r="C523" s="74"/>
      <c r="D523" s="74"/>
      <c r="E523" s="74"/>
      <c r="F523" s="74"/>
      <c r="G523" s="74"/>
      <c r="H523" s="74"/>
      <c r="I523" s="74"/>
      <c r="J523" s="74"/>
      <c r="K523" s="74"/>
    </row>
    <row r="524" spans="3:11">
      <c r="C524" s="74"/>
      <c r="D524" s="74"/>
      <c r="E524" s="74"/>
      <c r="F524" s="74"/>
      <c r="G524" s="74"/>
      <c r="H524" s="74"/>
      <c r="I524" s="74"/>
      <c r="J524" s="74"/>
      <c r="K524" s="74"/>
    </row>
    <row r="525" spans="3:11">
      <c r="C525" s="74"/>
      <c r="D525" s="74"/>
      <c r="E525" s="74"/>
      <c r="F525" s="74"/>
      <c r="G525" s="74"/>
      <c r="H525" s="74"/>
      <c r="I525" s="74"/>
      <c r="J525" s="74"/>
      <c r="K525" s="74"/>
    </row>
    <row r="526" spans="3:11">
      <c r="C526" s="74"/>
      <c r="D526" s="74"/>
      <c r="E526" s="74"/>
      <c r="F526" s="74"/>
      <c r="G526" s="74"/>
      <c r="H526" s="74"/>
      <c r="I526" s="74"/>
      <c r="J526" s="74"/>
      <c r="K526" s="74"/>
    </row>
    <row r="527" spans="3:11">
      <c r="C527" s="74"/>
      <c r="D527" s="74"/>
      <c r="E527" s="74"/>
      <c r="F527" s="74"/>
      <c r="G527" s="74"/>
      <c r="H527" s="74"/>
      <c r="I527" s="74"/>
      <c r="J527" s="74"/>
      <c r="K527" s="74"/>
    </row>
    <row r="528" spans="3:11">
      <c r="C528" s="74"/>
      <c r="D528" s="74"/>
      <c r="E528" s="74"/>
      <c r="F528" s="74"/>
      <c r="G528" s="74"/>
      <c r="H528" s="74"/>
      <c r="I528" s="74"/>
      <c r="J528" s="74"/>
      <c r="K528" s="74"/>
    </row>
    <row r="529" spans="3:11">
      <c r="C529" s="74"/>
      <c r="D529" s="74"/>
      <c r="E529" s="74"/>
      <c r="F529" s="74"/>
      <c r="G529" s="74"/>
      <c r="H529" s="74"/>
      <c r="I529" s="74"/>
      <c r="J529" s="74"/>
      <c r="K529" s="74"/>
    </row>
    <row r="530" spans="3:11">
      <c r="C530" s="74"/>
      <c r="D530" s="74"/>
      <c r="E530" s="74"/>
      <c r="F530" s="74"/>
      <c r="G530" s="74"/>
      <c r="H530" s="74"/>
      <c r="I530" s="74"/>
      <c r="J530" s="74"/>
      <c r="K530" s="74"/>
    </row>
    <row r="531" spans="3:11">
      <c r="C531" s="74"/>
      <c r="D531" s="74"/>
      <c r="E531" s="74"/>
      <c r="F531" s="74"/>
      <c r="G531" s="74"/>
      <c r="H531" s="74"/>
      <c r="I531" s="74"/>
      <c r="J531" s="74"/>
      <c r="K531" s="74"/>
    </row>
    <row r="532" spans="3:11">
      <c r="C532" s="74"/>
      <c r="D532" s="74"/>
      <c r="E532" s="74"/>
      <c r="F532" s="74"/>
      <c r="G532" s="74"/>
      <c r="H532" s="74"/>
      <c r="I532" s="74"/>
      <c r="J532" s="74"/>
      <c r="K532" s="74"/>
    </row>
    <row r="533" spans="3:11">
      <c r="C533" s="74"/>
      <c r="D533" s="74"/>
      <c r="E533" s="74"/>
      <c r="F533" s="74"/>
      <c r="G533" s="74"/>
      <c r="H533" s="74"/>
      <c r="I533" s="74"/>
      <c r="J533" s="74"/>
      <c r="K533" s="74"/>
    </row>
    <row r="534" spans="3:11">
      <c r="C534" s="74"/>
      <c r="D534" s="74"/>
      <c r="E534" s="74"/>
      <c r="F534" s="74"/>
      <c r="G534" s="74"/>
      <c r="H534" s="74"/>
      <c r="I534" s="74"/>
      <c r="J534" s="74"/>
      <c r="K534" s="74"/>
    </row>
    <row r="535" spans="3:11">
      <c r="C535" s="74"/>
      <c r="D535" s="74"/>
      <c r="E535" s="74"/>
      <c r="F535" s="74"/>
      <c r="G535" s="74"/>
      <c r="H535" s="74"/>
      <c r="I535" s="74"/>
      <c r="J535" s="74"/>
      <c r="K535" s="74"/>
    </row>
    <row r="536" spans="3:11">
      <c r="C536" s="74"/>
      <c r="D536" s="74"/>
      <c r="E536" s="74"/>
      <c r="F536" s="74"/>
      <c r="G536" s="74"/>
      <c r="H536" s="74"/>
      <c r="I536" s="74"/>
      <c r="J536" s="74"/>
      <c r="K536" s="74"/>
    </row>
    <row r="537" spans="3:11">
      <c r="C537" s="74"/>
      <c r="D537" s="74"/>
      <c r="E537" s="74"/>
      <c r="F537" s="74"/>
      <c r="G537" s="74"/>
      <c r="H537" s="74"/>
      <c r="I537" s="74"/>
      <c r="J537" s="74"/>
      <c r="K537" s="74"/>
    </row>
    <row r="538" spans="3:11">
      <c r="C538" s="74"/>
      <c r="D538" s="74"/>
      <c r="E538" s="74"/>
      <c r="F538" s="74"/>
      <c r="G538" s="74"/>
      <c r="H538" s="74"/>
      <c r="I538" s="74"/>
      <c r="J538" s="74"/>
      <c r="K538" s="74"/>
    </row>
    <row r="539" spans="3:11">
      <c r="C539" s="74"/>
      <c r="D539" s="74"/>
      <c r="E539" s="74"/>
      <c r="F539" s="74"/>
      <c r="G539" s="74"/>
      <c r="H539" s="74"/>
      <c r="I539" s="74"/>
      <c r="J539" s="74"/>
      <c r="K539" s="74"/>
    </row>
    <row r="540" spans="3:11">
      <c r="C540" s="74"/>
      <c r="D540" s="74"/>
      <c r="E540" s="74"/>
      <c r="F540" s="74"/>
      <c r="G540" s="74"/>
      <c r="H540" s="74"/>
      <c r="I540" s="74"/>
      <c r="J540" s="74"/>
      <c r="K540" s="74"/>
    </row>
    <row r="541" spans="3:11">
      <c r="C541" s="74"/>
      <c r="D541" s="74"/>
      <c r="E541" s="74"/>
      <c r="F541" s="74"/>
      <c r="G541" s="74"/>
      <c r="H541" s="74"/>
      <c r="I541" s="74"/>
      <c r="J541" s="74"/>
      <c r="K541" s="74"/>
    </row>
    <row r="542" spans="3:11">
      <c r="C542" s="74"/>
      <c r="D542" s="74"/>
      <c r="E542" s="74"/>
      <c r="F542" s="74"/>
      <c r="G542" s="74"/>
      <c r="H542" s="74"/>
      <c r="I542" s="74"/>
      <c r="J542" s="74"/>
      <c r="K542" s="74"/>
    </row>
    <row r="543" spans="3:11">
      <c r="C543" s="74"/>
      <c r="D543" s="74"/>
      <c r="E543" s="74"/>
      <c r="F543" s="74"/>
      <c r="G543" s="74"/>
      <c r="H543" s="74"/>
      <c r="I543" s="74"/>
      <c r="J543" s="74"/>
      <c r="K543" s="74"/>
    </row>
    <row r="544" spans="3:11">
      <c r="C544" s="74"/>
      <c r="D544" s="74"/>
      <c r="E544" s="74"/>
      <c r="F544" s="74"/>
      <c r="G544" s="74"/>
      <c r="H544" s="74"/>
      <c r="I544" s="74"/>
      <c r="J544" s="74"/>
      <c r="K544" s="74"/>
    </row>
    <row r="545" spans="3:11">
      <c r="C545" s="74"/>
      <c r="D545" s="74"/>
      <c r="E545" s="74"/>
      <c r="F545" s="74"/>
      <c r="G545" s="74"/>
      <c r="H545" s="74"/>
      <c r="I545" s="74"/>
      <c r="J545" s="74"/>
      <c r="K545" s="74"/>
    </row>
    <row r="546" spans="3:11">
      <c r="C546" s="74"/>
      <c r="D546" s="74"/>
      <c r="E546" s="74"/>
      <c r="F546" s="74"/>
      <c r="G546" s="74"/>
      <c r="H546" s="74"/>
      <c r="I546" s="74"/>
      <c r="J546" s="74"/>
      <c r="K546" s="74"/>
    </row>
    <row r="547" spans="3:11">
      <c r="C547" s="74"/>
      <c r="D547" s="74"/>
      <c r="E547" s="74"/>
      <c r="F547" s="74"/>
      <c r="G547" s="74"/>
      <c r="H547" s="74"/>
      <c r="I547" s="74"/>
      <c r="J547" s="74"/>
      <c r="K547" s="74"/>
    </row>
    <row r="548" spans="3:11">
      <c r="C548" s="74"/>
      <c r="D548" s="74"/>
      <c r="E548" s="74"/>
      <c r="F548" s="74"/>
      <c r="G548" s="74"/>
      <c r="H548" s="74"/>
      <c r="I548" s="74"/>
      <c r="J548" s="74"/>
      <c r="K548" s="74"/>
    </row>
    <row r="549" spans="3:11">
      <c r="C549" s="74"/>
      <c r="D549" s="74"/>
      <c r="E549" s="74"/>
      <c r="F549" s="74"/>
      <c r="G549" s="74"/>
      <c r="H549" s="74"/>
      <c r="I549" s="74"/>
      <c r="J549" s="74"/>
      <c r="K549" s="74"/>
    </row>
    <row r="550" spans="3:11">
      <c r="C550" s="74"/>
      <c r="D550" s="74"/>
      <c r="E550" s="74"/>
      <c r="F550" s="74"/>
      <c r="G550" s="74"/>
      <c r="H550" s="74"/>
      <c r="I550" s="74"/>
      <c r="J550" s="74"/>
      <c r="K550" s="74"/>
    </row>
    <row r="551" spans="3:11">
      <c r="C551" s="74"/>
      <c r="D551" s="74"/>
      <c r="E551" s="74"/>
      <c r="F551" s="74"/>
      <c r="G551" s="74"/>
      <c r="H551" s="74"/>
      <c r="I551" s="74"/>
      <c r="J551" s="74"/>
      <c r="K551" s="74"/>
    </row>
    <row r="552" spans="3:11">
      <c r="C552" s="74"/>
      <c r="D552" s="74"/>
      <c r="E552" s="74"/>
      <c r="F552" s="74"/>
      <c r="G552" s="74"/>
      <c r="H552" s="74"/>
      <c r="I552" s="74"/>
      <c r="J552" s="74"/>
      <c r="K552" s="74"/>
    </row>
    <row r="553" spans="3:11">
      <c r="C553" s="74"/>
      <c r="D553" s="74"/>
      <c r="E553" s="74"/>
      <c r="F553" s="74"/>
      <c r="G553" s="74"/>
      <c r="H553" s="74"/>
      <c r="I553" s="74"/>
      <c r="J553" s="74"/>
      <c r="K553" s="74"/>
    </row>
    <row r="554" spans="3:11">
      <c r="C554" s="74"/>
      <c r="D554" s="74"/>
      <c r="E554" s="74"/>
      <c r="F554" s="74"/>
      <c r="G554" s="74"/>
      <c r="H554" s="74"/>
      <c r="I554" s="74"/>
      <c r="J554" s="74"/>
      <c r="K554" s="74"/>
    </row>
    <row r="555" spans="3:11">
      <c r="C555" s="74"/>
      <c r="D555" s="74"/>
      <c r="E555" s="74"/>
      <c r="F555" s="74"/>
      <c r="G555" s="74"/>
      <c r="H555" s="74"/>
      <c r="I555" s="74"/>
      <c r="J555" s="74"/>
      <c r="K555" s="74"/>
    </row>
    <row r="556" spans="3:11">
      <c r="C556" s="74"/>
      <c r="D556" s="74"/>
      <c r="E556" s="74"/>
      <c r="F556" s="74"/>
      <c r="G556" s="74"/>
      <c r="H556" s="74"/>
      <c r="I556" s="74"/>
      <c r="J556" s="74"/>
      <c r="K556" s="74"/>
    </row>
    <row r="557" spans="3:11">
      <c r="C557" s="74"/>
      <c r="D557" s="74"/>
      <c r="E557" s="74"/>
      <c r="F557" s="74"/>
      <c r="G557" s="74"/>
      <c r="H557" s="74"/>
      <c r="I557" s="74"/>
      <c r="J557" s="74"/>
      <c r="K557" s="74"/>
    </row>
    <row r="558" spans="3:11">
      <c r="C558" s="74"/>
      <c r="D558" s="74"/>
      <c r="E558" s="74"/>
      <c r="F558" s="74"/>
      <c r="G558" s="74"/>
      <c r="H558" s="74"/>
      <c r="I558" s="74"/>
      <c r="J558" s="74"/>
      <c r="K558" s="74"/>
    </row>
    <row r="559" spans="3:11">
      <c r="C559" s="74"/>
      <c r="D559" s="74"/>
      <c r="E559" s="74"/>
      <c r="F559" s="74"/>
      <c r="G559" s="74"/>
      <c r="H559" s="74"/>
      <c r="I559" s="74"/>
      <c r="J559" s="74"/>
      <c r="K559" s="74"/>
    </row>
    <row r="560" spans="3:11">
      <c r="C560" s="74"/>
      <c r="D560" s="74"/>
      <c r="E560" s="74"/>
      <c r="F560" s="74"/>
      <c r="G560" s="74"/>
      <c r="H560" s="74"/>
      <c r="I560" s="74"/>
      <c r="J560" s="74"/>
      <c r="K560" s="74"/>
    </row>
    <row r="561" spans="3:11">
      <c r="C561" s="74"/>
      <c r="D561" s="74"/>
      <c r="E561" s="74"/>
      <c r="F561" s="74"/>
      <c r="G561" s="74"/>
      <c r="H561" s="74"/>
      <c r="I561" s="74"/>
      <c r="J561" s="74"/>
      <c r="K561" s="74"/>
    </row>
    <row r="562" spans="3:11">
      <c r="C562" s="74"/>
      <c r="D562" s="74"/>
      <c r="E562" s="74"/>
      <c r="F562" s="74"/>
      <c r="G562" s="74"/>
      <c r="H562" s="74"/>
      <c r="I562" s="74"/>
      <c r="J562" s="74"/>
      <c r="K562" s="74"/>
    </row>
    <row r="563" spans="3:11">
      <c r="C563" s="74"/>
      <c r="D563" s="74"/>
      <c r="E563" s="74"/>
      <c r="F563" s="74"/>
      <c r="G563" s="74"/>
      <c r="H563" s="74"/>
      <c r="I563" s="74"/>
      <c r="J563" s="74"/>
      <c r="K563" s="74"/>
    </row>
    <row r="564" spans="3:11">
      <c r="C564" s="74"/>
      <c r="D564" s="74"/>
      <c r="E564" s="74"/>
      <c r="F564" s="74"/>
      <c r="G564" s="74"/>
      <c r="H564" s="74"/>
      <c r="I564" s="74"/>
      <c r="J564" s="74"/>
      <c r="K564" s="74"/>
    </row>
    <row r="565" spans="3:11">
      <c r="C565" s="74"/>
      <c r="D565" s="74"/>
      <c r="E565" s="74"/>
      <c r="F565" s="74"/>
      <c r="G565" s="74"/>
      <c r="H565" s="74"/>
      <c r="I565" s="74"/>
      <c r="J565" s="74"/>
      <c r="K565" s="74"/>
    </row>
    <row r="566" spans="3:11">
      <c r="C566" s="74"/>
      <c r="D566" s="74"/>
      <c r="E566" s="74"/>
      <c r="F566" s="74"/>
      <c r="G566" s="74"/>
      <c r="H566" s="74"/>
      <c r="I566" s="74"/>
      <c r="J566" s="74"/>
      <c r="K566" s="74"/>
    </row>
  </sheetData>
  <sheetProtection password="89AB" sheet="1" objects="1" scenarios="1" formatCells="0" insertColumns="0" insertRows="0"/>
  <protectedRanges>
    <protectedRange sqref="B162:B166" name="Intervalo4_1"/>
    <protectedRange sqref="B48:B58" name="Intervalo1_1"/>
    <protectedRange sqref="B157:B159" name="Intervalo8"/>
    <protectedRange sqref="A98:F155" name="Intervalo7"/>
    <protectedRange sqref="B19:D47" name="Intervalo3"/>
    <protectedRange sqref="B10:D15" name="Intervalo2"/>
    <protectedRange sqref="G1:I1 A1:C2" name="Intervalo1"/>
    <protectedRange sqref="B70:B71 D62:D76 F62:F76 H62:H76" name="Intervalo4"/>
    <protectedRange sqref="B79:B96 A79" name="Intervalo5"/>
    <protectedRange sqref="B6" name="Intervalo10"/>
  </protectedRanges>
  <sortState ref="A133:G144">
    <sortCondition ref="A133:A144"/>
  </sortState>
  <mergeCells count="21">
    <mergeCell ref="F60:G60"/>
    <mergeCell ref="H60:I60"/>
    <mergeCell ref="A78:B78"/>
    <mergeCell ref="A98:D98"/>
    <mergeCell ref="A60:A61"/>
    <mergeCell ref="D139:F139"/>
    <mergeCell ref="C60:C61"/>
    <mergeCell ref="B1:C1"/>
    <mergeCell ref="B2:C2"/>
    <mergeCell ref="C5:C7"/>
    <mergeCell ref="D60:E60"/>
    <mergeCell ref="B60:B61"/>
    <mergeCell ref="A108:E108"/>
    <mergeCell ref="A126:B126"/>
    <mergeCell ref="A9:D9"/>
    <mergeCell ref="A4:D4"/>
    <mergeCell ref="A16:D16"/>
    <mergeCell ref="A128:C128"/>
    <mergeCell ref="D128:F128"/>
    <mergeCell ref="A139:C139"/>
    <mergeCell ref="D2:J2"/>
  </mergeCells>
  <conditionalFormatting sqref="A57:A58">
    <cfRule type="containsText" dxfId="39" priority="51" operator="containsText" text="informar alíquota">
      <formula>NOT(ISERROR(SEARCH("informar alíquota",A57)))</formula>
    </cfRule>
  </conditionalFormatting>
  <conditionalFormatting sqref="A1:C3 A5:B7">
    <cfRule type="containsText" dxfId="38" priority="50" operator="containsText" text="informar alíquota">
      <formula>NOT(ISERROR(SEARCH("informar alíquota",A1)))</formula>
    </cfRule>
  </conditionalFormatting>
  <conditionalFormatting sqref="A60:B60 D60 A73:C73 A74 A62:B72">
    <cfRule type="containsText" dxfId="37" priority="47" operator="containsText" text="informar alíquota">
      <formula>NOT(ISERROR(SEARCH("informar alíquota",A60)))</formula>
    </cfRule>
  </conditionalFormatting>
  <conditionalFormatting sqref="A23:C24 B27:C27 A41:C41 C35:D35 A42:D42 A9 A10:C15 A28:D28 A43:C45 A34:C34 A29:C32 A35:B40 A17:C17 A16">
    <cfRule type="expression" dxfId="36" priority="36" stopIfTrue="1">
      <formula>NOT(ISERROR(SEARCH("informar alíquota",A9)))</formula>
    </cfRule>
  </conditionalFormatting>
  <conditionalFormatting sqref="A22:C22 A18:D18">
    <cfRule type="expression" dxfId="35" priority="37" stopIfTrue="1">
      <formula>NOT(ISERROR(SEARCH("informar alíquota",A18)))</formula>
    </cfRule>
  </conditionalFormatting>
  <conditionalFormatting sqref="C24:D24">
    <cfRule type="expression" dxfId="34" priority="38" stopIfTrue="1">
      <formula>NOT(ISERROR(SEARCH("informar alíquota",C24)))</formula>
    </cfRule>
  </conditionalFormatting>
  <conditionalFormatting sqref="A19:C21">
    <cfRule type="expression" dxfId="33" priority="39" stopIfTrue="1">
      <formula>NOT(ISERROR(SEARCH("informar alíquota",A19)))</formula>
    </cfRule>
  </conditionalFormatting>
  <conditionalFormatting sqref="D19">
    <cfRule type="expression" dxfId="32" priority="40" stopIfTrue="1">
      <formula>NOT(ISERROR(SEARCH("informar alíquota",D19)))</formula>
    </cfRule>
  </conditionalFormatting>
  <conditionalFormatting sqref="C36:D37 C39:D39">
    <cfRule type="expression" dxfId="31" priority="41" stopIfTrue="1">
      <formula>NOT(ISERROR(SEARCH("informar alíquota",C36)))</formula>
    </cfRule>
  </conditionalFormatting>
  <conditionalFormatting sqref="D12">
    <cfRule type="expression" dxfId="30" priority="42" stopIfTrue="1">
      <formula>NOT(ISERROR(SEARCH("informar alíquota",D12)))</formula>
    </cfRule>
  </conditionalFormatting>
  <conditionalFormatting sqref="D13">
    <cfRule type="expression" dxfId="29" priority="43" stopIfTrue="1">
      <formula>NOT(ISERROR(SEARCH("informar alíquota",D13)))</formula>
    </cfRule>
  </conditionalFormatting>
  <conditionalFormatting sqref="D11">
    <cfRule type="expression" dxfId="28" priority="44" stopIfTrue="1">
      <formula>NOT(ISERROR(SEARCH("informar alíquota",D11)))</formula>
    </cfRule>
  </conditionalFormatting>
  <conditionalFormatting sqref="A46:C46">
    <cfRule type="expression" dxfId="27" priority="35" stopIfTrue="1">
      <formula>NOT(ISERROR(SEARCH("informar alíquota",A46)))</formula>
    </cfRule>
  </conditionalFormatting>
  <conditionalFormatting sqref="A4">
    <cfRule type="expression" dxfId="26" priority="33" stopIfTrue="1">
      <formula>NOT(ISERROR(SEARCH("informar alíquota",A4)))</formula>
    </cfRule>
  </conditionalFormatting>
  <conditionalFormatting sqref="F60">
    <cfRule type="containsText" dxfId="25" priority="29" operator="containsText" text="informar alíquota">
      <formula>NOT(ISERROR(SEARCH("informar alíquota",F60)))</formula>
    </cfRule>
  </conditionalFormatting>
  <conditionalFormatting sqref="H60">
    <cfRule type="containsText" dxfId="24" priority="28" operator="containsText" text="informar alíquota">
      <formula>NOT(ISERROR(SEARCH("informar alíquota",H60)))</formula>
    </cfRule>
  </conditionalFormatting>
  <conditionalFormatting sqref="A25:C25">
    <cfRule type="expression" dxfId="23" priority="23" stopIfTrue="1">
      <formula>NOT(ISERROR(SEARCH("informar alíquota",A25)))</formula>
    </cfRule>
  </conditionalFormatting>
  <conditionalFormatting sqref="A33:C33">
    <cfRule type="expression" dxfId="22" priority="21" stopIfTrue="1">
      <formula>NOT(ISERROR(SEARCH("informar alíquota",A33)))</formula>
    </cfRule>
  </conditionalFormatting>
  <conditionalFormatting sqref="B74:B76 D74:D76">
    <cfRule type="containsText" dxfId="21" priority="20" operator="containsText" text="informar alíquota">
      <formula>NOT(ISERROR(SEARCH("informar alíquota",B74)))</formula>
    </cfRule>
  </conditionalFormatting>
  <conditionalFormatting sqref="F74:F76">
    <cfRule type="containsText" dxfId="20" priority="19" operator="containsText" text="informar alíquota">
      <formula>NOT(ISERROR(SEARCH("informar alíquota",F74)))</formula>
    </cfRule>
  </conditionalFormatting>
  <conditionalFormatting sqref="H74:H76">
    <cfRule type="containsText" dxfId="19" priority="18" operator="containsText" text="informar alíquota">
      <formula>NOT(ISERROR(SEARCH("informar alíquota",H74)))</formula>
    </cfRule>
  </conditionalFormatting>
  <conditionalFormatting sqref="C40:D40">
    <cfRule type="expression" dxfId="18" priority="16" stopIfTrue="1">
      <formula>NOT(ISERROR(SEARCH("informar alíquota",C40)))</formula>
    </cfRule>
  </conditionalFormatting>
  <conditionalFormatting sqref="D20:D21">
    <cfRule type="expression" dxfId="17" priority="14" stopIfTrue="1">
      <formula>NOT(ISERROR(SEARCH("informar alíquota",D20)))</formula>
    </cfRule>
  </conditionalFormatting>
  <conditionalFormatting sqref="C38:D38">
    <cfRule type="expression" dxfId="16" priority="13" stopIfTrue="1">
      <formula>NOT(ISERROR(SEARCH("informar alíquota",C38)))</formula>
    </cfRule>
  </conditionalFormatting>
  <conditionalFormatting sqref="A26:C26">
    <cfRule type="expression" dxfId="15" priority="12" stopIfTrue="1">
      <formula>NOT(ISERROR(SEARCH("informar alíquota",A26)))</formula>
    </cfRule>
  </conditionalFormatting>
  <conditionalFormatting sqref="D62:D72">
    <cfRule type="containsText" dxfId="14" priority="8" operator="containsText" text="informar alíquota">
      <formula>NOT(ISERROR(SEARCH("informar alíquota",D62)))</formula>
    </cfRule>
  </conditionalFormatting>
  <conditionalFormatting sqref="F62:F72">
    <cfRule type="containsText" dxfId="13" priority="7" operator="containsText" text="informar alíquota">
      <formula>NOT(ISERROR(SEARCH("informar alíquota",F62)))</formula>
    </cfRule>
  </conditionalFormatting>
  <conditionalFormatting sqref="H62:H72">
    <cfRule type="containsText" dxfId="12" priority="6" operator="containsText" text="informar alíquota">
      <formula>NOT(ISERROR(SEARCH("informar alíquota",H62)))</formula>
    </cfRule>
  </conditionalFormatting>
  <conditionalFormatting sqref="A75:A76">
    <cfRule type="containsText" dxfId="11" priority="5" operator="containsText" text="informar alíquota">
      <formula>NOT(ISERROR(SEARCH("informar alíquota",A75)))</formula>
    </cfRule>
  </conditionalFormatting>
  <conditionalFormatting sqref="B49:B56">
    <cfRule type="expression" dxfId="10" priority="4" stopIfTrue="1">
      <formula>#REF!=TRUE</formula>
    </cfRule>
  </conditionalFormatting>
  <conditionalFormatting sqref="B48">
    <cfRule type="expression" dxfId="9" priority="3" stopIfTrue="1">
      <formula>NOT(ISERROR(SEARCH("informar alíquota",B48)))</formula>
    </cfRule>
  </conditionalFormatting>
  <conditionalFormatting sqref="B57">
    <cfRule type="expression" dxfId="8" priority="2" stopIfTrue="1">
      <formula>#REF!=TRUE</formula>
    </cfRule>
  </conditionalFormatting>
  <conditionalFormatting sqref="B58">
    <cfRule type="expression" dxfId="7" priority="1" stopIfTrue="1">
      <formula>#REF!=TRUE</formula>
    </cfRule>
  </conditionalFormatting>
  <dataValidations count="6">
    <dataValidation type="list" allowBlank="1" showErrorMessage="1" sqref="B15:D15">
      <formula1>$J$1:$J$2</formula1>
      <formula2>0</formula2>
    </dataValidation>
    <dataValidation type="list" allowBlank="1" showInputMessage="1" showErrorMessage="1" sqref="B1:C1">
      <formula1>$K$4:$K$6</formula1>
    </dataValidation>
    <dataValidation type="list" allowBlank="1" showInputMessage="1" showErrorMessage="1" sqref="A3">
      <formula1>$M$4:$M$8</formula1>
    </dataValidation>
    <dataValidation type="list" allowBlank="1" showInputMessage="1" showErrorMessage="1" sqref="B2:C3">
      <formula1>$L$4:$L$10</formula1>
    </dataValidation>
    <dataValidation type="list" allowBlank="1" showInputMessage="1" showErrorMessage="1" sqref="B79">
      <formula1>$K$11:$K$12</formula1>
    </dataValidation>
    <dataValidation type="list" allowBlank="1" showInputMessage="1" showErrorMessage="1" sqref="A2">
      <formula1>$M$3:$M$8</formula1>
    </dataValidation>
  </dataValidations>
  <hyperlinks>
    <hyperlink ref="M63" r:id="rId1"/>
    <hyperlink ref="B10" location="'MO - Operador de roçadeira'!A1" display="Operador de roçadeira"/>
    <hyperlink ref="C10" location="'MO - Coletor de resíduos'!A1" display="Coletor de Resíduos"/>
    <hyperlink ref="D10" location="'MO - Motorista'!A1" display="Motorista"/>
    <hyperlink ref="A5" location="LOTE!A1" display="M²/ MÊS (área)"/>
    <hyperlink ref="A79" location="Veículo!A1" display="Modelo: Veículo tipo pick-up, cabine dupla, básico, 0 km."/>
    <hyperlink ref="A98:D98" location="Insumos!A1" display="INSUMOS"/>
    <hyperlink ref="A108:E108" location="Equipamentos!A1" display="EQUIPAMENTOS"/>
    <hyperlink ref="A128:C128" location="'Uniformes e EPIs'!A1" display="UNIFORME"/>
    <hyperlink ref="A139:C139" location="'Uniformes e EPIs'!A1" display="EPI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ignoredErrors>
    <ignoredError sqref="D119 D122" unlockedFormula="1"/>
    <ignoredError sqref="C38:D38 E73 G73 I73" formula="1"/>
  </ignoredError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8" tint="0.79998168889431442"/>
  </sheetPr>
  <dimension ref="A1:E94"/>
  <sheetViews>
    <sheetView showGridLines="0" workbookViewId="0">
      <pane ySplit="1" topLeftCell="A53" activePane="bottomLeft" state="frozen"/>
      <selection activeCell="D58" sqref="D58"/>
      <selection pane="bottomLeft" activeCell="A73" sqref="A1:E73"/>
    </sheetView>
  </sheetViews>
  <sheetFormatPr defaultRowHeight="15"/>
  <cols>
    <col min="1" max="1" width="3.5703125" customWidth="1"/>
    <col min="2" max="2" width="19" customWidth="1"/>
    <col min="3" max="3" width="38.5703125" customWidth="1"/>
    <col min="4" max="4" width="9.140625" style="112"/>
    <col min="5" max="5" width="11" customWidth="1"/>
  </cols>
  <sheetData>
    <row r="1" spans="1:5">
      <c r="A1" s="1067" t="str">
        <f>CONCATENATE("MÃO-DE-OBRA"," - ",D10)</f>
        <v>MÃO-DE-OBRA - Operador de roçadeira</v>
      </c>
      <c r="B1" s="1067"/>
      <c r="C1" s="1067"/>
      <c r="D1" s="1067"/>
      <c r="E1" s="1067"/>
    </row>
    <row r="3" spans="1:5">
      <c r="A3" s="113"/>
      <c r="B3" s="1066" t="s">
        <v>223</v>
      </c>
      <c r="C3" s="1066"/>
      <c r="D3" s="114"/>
      <c r="E3" s="115"/>
    </row>
    <row r="4" spans="1:5">
      <c r="A4" s="449" t="s">
        <v>18</v>
      </c>
      <c r="B4" s="1068" t="s">
        <v>224</v>
      </c>
      <c r="C4" s="1068"/>
      <c r="D4" s="1069">
        <f>'ENTRADA DE DADOS'!B21</f>
        <v>2023</v>
      </c>
      <c r="E4" s="1069"/>
    </row>
    <row r="5" spans="1:5">
      <c r="A5" s="436" t="s">
        <v>19</v>
      </c>
      <c r="B5" s="1070" t="s">
        <v>225</v>
      </c>
      <c r="C5" s="1070"/>
      <c r="D5" s="1071">
        <f>'ENTRADA DE DADOS'!I1</f>
        <v>12</v>
      </c>
      <c r="E5" s="1071"/>
    </row>
    <row r="6" spans="1:5">
      <c r="A6" s="116"/>
      <c r="B6" s="1072"/>
      <c r="C6" s="1072"/>
      <c r="D6" s="117"/>
      <c r="E6" s="116"/>
    </row>
    <row r="7" spans="1:5">
      <c r="A7" s="113"/>
      <c r="B7" s="1066" t="s">
        <v>226</v>
      </c>
      <c r="C7" s="1066"/>
      <c r="D7" s="114"/>
      <c r="E7" s="115"/>
    </row>
    <row r="8" spans="1:5">
      <c r="A8" s="430" t="s">
        <v>18</v>
      </c>
      <c r="B8" s="1073" t="s">
        <v>227</v>
      </c>
      <c r="C8" s="1073"/>
      <c r="D8" s="1074">
        <f>'ENTRADA DE DADOS'!B19</f>
        <v>1431.04</v>
      </c>
      <c r="E8" s="1074"/>
    </row>
    <row r="9" spans="1:5">
      <c r="A9" s="430" t="s">
        <v>19</v>
      </c>
      <c r="B9" s="1075" t="s">
        <v>228</v>
      </c>
      <c r="C9" s="1075"/>
      <c r="D9" s="1074">
        <f>'ENTRADA DE DADOS'!B22</f>
        <v>1717.24</v>
      </c>
      <c r="E9" s="1074"/>
    </row>
    <row r="10" spans="1:5">
      <c r="A10" s="430" t="s">
        <v>21</v>
      </c>
      <c r="B10" s="431" t="s">
        <v>229</v>
      </c>
      <c r="C10" s="432"/>
      <c r="D10" s="433" t="str">
        <f>'ENTRADA DE DADOS'!B10</f>
        <v>Operador de roçadeira</v>
      </c>
      <c r="E10" s="434"/>
    </row>
    <row r="11" spans="1:5">
      <c r="A11" s="435" t="s">
        <v>22</v>
      </c>
      <c r="B11" s="1076" t="s">
        <v>230</v>
      </c>
      <c r="C11" s="1076"/>
      <c r="D11" s="1077" t="str">
        <f>'ENTRADA DE DADOS'!B20</f>
        <v>1º de janeiro</v>
      </c>
      <c r="E11" s="1078"/>
    </row>
    <row r="12" spans="1:5">
      <c r="A12" s="116"/>
      <c r="B12" s="1072"/>
      <c r="C12" s="1072"/>
      <c r="D12" s="118"/>
      <c r="E12" s="119"/>
    </row>
    <row r="13" spans="1:5">
      <c r="A13" s="113"/>
      <c r="B13" s="1079" t="s">
        <v>231</v>
      </c>
      <c r="C13" s="1079"/>
      <c r="D13" s="120"/>
      <c r="E13" s="121"/>
    </row>
    <row r="14" spans="1:5">
      <c r="A14" s="122" t="s">
        <v>232</v>
      </c>
      <c r="B14" s="1080" t="s">
        <v>233</v>
      </c>
      <c r="C14" s="1080"/>
      <c r="D14" s="123" t="s">
        <v>37</v>
      </c>
      <c r="E14" s="124" t="s">
        <v>234</v>
      </c>
    </row>
    <row r="15" spans="1:5">
      <c r="A15" s="125" t="s">
        <v>18</v>
      </c>
      <c r="B15" s="1072" t="s">
        <v>235</v>
      </c>
      <c r="C15" s="1072"/>
      <c r="D15" s="118">
        <f>'ENTRADA DE DADOS'!B23</f>
        <v>1</v>
      </c>
      <c r="E15" s="126">
        <f>D15*$D$9</f>
        <v>1717.24</v>
      </c>
    </row>
    <row r="16" spans="1:5">
      <c r="A16" s="125" t="s">
        <v>19</v>
      </c>
      <c r="B16" s="167" t="s">
        <v>10</v>
      </c>
      <c r="C16" s="167"/>
      <c r="D16" s="118">
        <f>'ENTRADA DE DADOS'!B25</f>
        <v>0.2</v>
      </c>
      <c r="E16" s="126">
        <f>'ENTRADA DE DADOS'!B19*'MO - Operador de roçadeira'!D16</f>
        <v>286.20800000000003</v>
      </c>
    </row>
    <row r="17" spans="1:5">
      <c r="A17" s="125" t="s">
        <v>21</v>
      </c>
      <c r="B17" s="128" t="str">
        <f>'ENTRADA DE DADOS'!A26</f>
        <v>Outros (especificar)</v>
      </c>
      <c r="C17" s="128"/>
      <c r="D17" s="118"/>
      <c r="E17" s="126">
        <f>'ENTRADA DE DADOS'!B26</f>
        <v>0</v>
      </c>
    </row>
    <row r="18" spans="1:5">
      <c r="A18" s="125"/>
      <c r="B18" s="1081" t="s">
        <v>237</v>
      </c>
      <c r="C18" s="1081"/>
      <c r="D18" s="130">
        <v>1</v>
      </c>
      <c r="E18" s="131">
        <f>ROUND(SUM(E15:E17),2)</f>
        <v>2003.45</v>
      </c>
    </row>
    <row r="19" spans="1:5">
      <c r="A19" s="132"/>
      <c r="B19" s="1084"/>
      <c r="C19" s="1084"/>
      <c r="D19" s="133"/>
      <c r="E19" s="134"/>
    </row>
    <row r="20" spans="1:5">
      <c r="A20" s="122" t="s">
        <v>238</v>
      </c>
      <c r="B20" s="1080" t="s">
        <v>239</v>
      </c>
      <c r="C20" s="1080"/>
      <c r="D20" s="135"/>
      <c r="E20" s="136" t="s">
        <v>240</v>
      </c>
    </row>
    <row r="21" spans="1:5">
      <c r="A21" s="125" t="s">
        <v>18</v>
      </c>
      <c r="B21" s="1072" t="s">
        <v>33</v>
      </c>
      <c r="C21" s="1072"/>
      <c r="D21" s="137"/>
      <c r="E21" s="126">
        <f>IF('ENTRADA DE DADOS'!B33&gt;0,'ENTRADA DE DADOS'!B33,('ENTRADA DE DADOS'!B29*'ENTRADA DE DADOS'!B30*'ENTRADA DE DADOS'!B31)-($E$15*'ENTRADA DE DADOS'!B32))</f>
        <v>0</v>
      </c>
    </row>
    <row r="22" spans="1:5">
      <c r="A22" s="125" t="s">
        <v>1</v>
      </c>
      <c r="B22" s="167" t="s">
        <v>169</v>
      </c>
      <c r="C22" s="167"/>
      <c r="D22" s="384">
        <f>IF(AND('ENTRADA DE DADOS'!B1="lucro real",'ENTRADA DE DADOS'!B162=1.65%),9.25%,0)</f>
        <v>0</v>
      </c>
      <c r="E22" s="126">
        <f>-E21*D22</f>
        <v>0</v>
      </c>
    </row>
    <row r="23" spans="1:5">
      <c r="A23" s="125" t="s">
        <v>19</v>
      </c>
      <c r="B23" s="1072" t="s">
        <v>241</v>
      </c>
      <c r="C23" s="1072"/>
      <c r="D23" s="137"/>
      <c r="E23" s="126">
        <f>SUM('ENTRADA DE DADOS'!B36:B40)</f>
        <v>521.46960000000001</v>
      </c>
    </row>
    <row r="24" spans="1:5">
      <c r="A24" s="125" t="s">
        <v>6</v>
      </c>
      <c r="B24" s="167" t="s">
        <v>169</v>
      </c>
      <c r="C24" s="167"/>
      <c r="D24" s="384">
        <f>D22</f>
        <v>0</v>
      </c>
      <c r="E24" s="126">
        <f>-E23*D24</f>
        <v>0</v>
      </c>
    </row>
    <row r="25" spans="1:5">
      <c r="A25" s="125" t="s">
        <v>21</v>
      </c>
      <c r="B25" s="1072" t="s">
        <v>281</v>
      </c>
      <c r="C25" s="1072"/>
      <c r="D25" s="137"/>
      <c r="E25" s="126">
        <f>'ENTRADA DE DADOS'!B43</f>
        <v>62.5</v>
      </c>
    </row>
    <row r="26" spans="1:5">
      <c r="A26" s="125" t="s">
        <v>22</v>
      </c>
      <c r="B26" s="1072" t="s">
        <v>278</v>
      </c>
      <c r="C26" s="1072"/>
      <c r="D26" s="137"/>
      <c r="E26" s="126">
        <f>'ENTRADA DE DADOS'!B44</f>
        <v>18.5</v>
      </c>
    </row>
    <row r="27" spans="1:5">
      <c r="A27" s="125" t="s">
        <v>23</v>
      </c>
      <c r="B27" s="119" t="s">
        <v>200</v>
      </c>
      <c r="C27" s="119"/>
      <c r="D27" s="137"/>
      <c r="E27" s="126">
        <f>'ENTRADA DE DADOS'!B45</f>
        <v>0</v>
      </c>
    </row>
    <row r="28" spans="1:5">
      <c r="A28" s="125" t="s">
        <v>24</v>
      </c>
      <c r="B28" s="1072" t="str">
        <f>'ENTRADA DE DADOS'!A46</f>
        <v>Outros benefícios (especificar)</v>
      </c>
      <c r="C28" s="1072"/>
      <c r="D28" s="137"/>
      <c r="E28" s="126">
        <f>'ENTRADA DE DADOS'!B46</f>
        <v>0</v>
      </c>
    </row>
    <row r="29" spans="1:5">
      <c r="A29" s="138"/>
      <c r="B29" s="1081" t="s">
        <v>242</v>
      </c>
      <c r="C29" s="1081"/>
      <c r="D29" s="379">
        <f>E29/E18</f>
        <v>0.30071626444383437</v>
      </c>
      <c r="E29" s="131">
        <f>ROUND(SUM(E21:E28),2)</f>
        <v>602.47</v>
      </c>
    </row>
    <row r="30" spans="1:5">
      <c r="A30" s="139"/>
      <c r="B30" s="140"/>
      <c r="C30" s="140"/>
      <c r="D30" s="141"/>
      <c r="E30" s="142"/>
    </row>
    <row r="31" spans="1:5">
      <c r="A31" s="122" t="s">
        <v>346</v>
      </c>
      <c r="B31" s="144" t="s">
        <v>244</v>
      </c>
      <c r="C31" s="145"/>
      <c r="D31" s="146"/>
      <c r="E31" s="136"/>
    </row>
    <row r="32" spans="1:5">
      <c r="A32" s="147"/>
      <c r="B32" s="148" t="s">
        <v>245</v>
      </c>
      <c r="C32" s="143"/>
      <c r="D32" s="130" t="s">
        <v>37</v>
      </c>
      <c r="E32" s="149" t="s">
        <v>246</v>
      </c>
    </row>
    <row r="33" spans="1:5">
      <c r="A33" s="125" t="s">
        <v>18</v>
      </c>
      <c r="B33" s="1072" t="s">
        <v>247</v>
      </c>
      <c r="C33" s="1072"/>
      <c r="D33" s="129">
        <f>'ENTRADA DE DADOS'!B49</f>
        <v>0.2</v>
      </c>
      <c r="E33" s="150">
        <f t="shared" ref="E33:E40" si="0">E$18*D33</f>
        <v>400.69000000000005</v>
      </c>
    </row>
    <row r="34" spans="1:5">
      <c r="A34" s="125" t="s">
        <v>19</v>
      </c>
      <c r="B34" s="1072" t="s">
        <v>248</v>
      </c>
      <c r="C34" s="1072"/>
      <c r="D34" s="129">
        <f>'ENTRADA DE DADOS'!B50</f>
        <v>1.4999999999999999E-2</v>
      </c>
      <c r="E34" s="150">
        <f t="shared" si="0"/>
        <v>30.051749999999998</v>
      </c>
    </row>
    <row r="35" spans="1:5">
      <c r="A35" s="125" t="s">
        <v>21</v>
      </c>
      <c r="B35" s="1072" t="s">
        <v>249</v>
      </c>
      <c r="C35" s="1072"/>
      <c r="D35" s="129">
        <f>'ENTRADA DE DADOS'!B51</f>
        <v>0.01</v>
      </c>
      <c r="E35" s="150">
        <f t="shared" si="0"/>
        <v>20.034500000000001</v>
      </c>
    </row>
    <row r="36" spans="1:5">
      <c r="A36" s="125" t="s">
        <v>22</v>
      </c>
      <c r="B36" s="1072" t="s">
        <v>3</v>
      </c>
      <c r="C36" s="1072"/>
      <c r="D36" s="129">
        <f>'ENTRADA DE DADOS'!B52</f>
        <v>2E-3</v>
      </c>
      <c r="E36" s="150">
        <f t="shared" si="0"/>
        <v>4.0068999999999999</v>
      </c>
    </row>
    <row r="37" spans="1:5">
      <c r="A37" s="125" t="s">
        <v>23</v>
      </c>
      <c r="B37" s="1072" t="s">
        <v>250</v>
      </c>
      <c r="C37" s="1072"/>
      <c r="D37" s="129">
        <f>'ENTRADA DE DADOS'!B53</f>
        <v>2.5000000000000001E-2</v>
      </c>
      <c r="E37" s="150">
        <f t="shared" si="0"/>
        <v>50.086250000000007</v>
      </c>
    </row>
    <row r="38" spans="1:5">
      <c r="A38" s="125" t="s">
        <v>24</v>
      </c>
      <c r="B38" s="1072" t="s">
        <v>2</v>
      </c>
      <c r="C38" s="1072"/>
      <c r="D38" s="129">
        <f>'ENTRADA DE DADOS'!B54</f>
        <v>6.0000000000000001E-3</v>
      </c>
      <c r="E38" s="150">
        <f t="shared" si="0"/>
        <v>12.0207</v>
      </c>
    </row>
    <row r="39" spans="1:5">
      <c r="A39" s="125" t="s">
        <v>341</v>
      </c>
      <c r="B39" s="1072" t="s">
        <v>251</v>
      </c>
      <c r="C39" s="1072"/>
      <c r="D39" s="129">
        <f>'ENTRADA DE DADOS'!B55</f>
        <v>0.06</v>
      </c>
      <c r="E39" s="150">
        <f t="shared" si="0"/>
        <v>120.20699999999999</v>
      </c>
    </row>
    <row r="40" spans="1:5">
      <c r="A40" s="125" t="s">
        <v>342</v>
      </c>
      <c r="B40" s="1072" t="s">
        <v>5</v>
      </c>
      <c r="C40" s="1072"/>
      <c r="D40" s="129">
        <f>'ENTRADA DE DADOS'!B56</f>
        <v>0.08</v>
      </c>
      <c r="E40" s="150">
        <f t="shared" si="0"/>
        <v>160.27600000000001</v>
      </c>
    </row>
    <row r="41" spans="1:5">
      <c r="A41" s="147"/>
      <c r="B41" s="151" t="s">
        <v>252</v>
      </c>
      <c r="C41" s="152"/>
      <c r="D41" s="130">
        <f>ROUND(SUM(D33:D40),4)</f>
        <v>0.39800000000000002</v>
      </c>
      <c r="E41" s="153">
        <f>ROUND(SUM(E33:E40),2)</f>
        <v>797.37</v>
      </c>
    </row>
    <row r="42" spans="1:5">
      <c r="A42" s="154"/>
      <c r="B42" s="1086"/>
      <c r="C42" s="1086"/>
      <c r="D42" s="155"/>
      <c r="E42" s="156"/>
    </row>
    <row r="43" spans="1:5">
      <c r="A43" s="147"/>
      <c r="B43" s="148" t="s">
        <v>253</v>
      </c>
      <c r="C43" s="143"/>
      <c r="D43" s="130" t="s">
        <v>37</v>
      </c>
      <c r="E43" s="149" t="s">
        <v>246</v>
      </c>
    </row>
    <row r="44" spans="1:5">
      <c r="A44" s="125" t="s">
        <v>18</v>
      </c>
      <c r="B44" s="1072" t="s">
        <v>254</v>
      </c>
      <c r="C44" s="1072"/>
      <c r="D44" s="129">
        <f>ROUND(1/12,4)</f>
        <v>8.3299999999999999E-2</v>
      </c>
      <c r="E44" s="157">
        <f>E$18*D44</f>
        <v>166.88738499999999</v>
      </c>
    </row>
    <row r="45" spans="1:5">
      <c r="A45" s="125" t="s">
        <v>19</v>
      </c>
      <c r="B45" s="378" t="s">
        <v>304</v>
      </c>
      <c r="C45" s="378"/>
      <c r="D45" s="129">
        <f>(1/3)/12</f>
        <v>2.7777777777777776E-2</v>
      </c>
      <c r="E45" s="157">
        <f t="shared" ref="E45:E47" si="1">E$18*D45</f>
        <v>55.651388888888889</v>
      </c>
    </row>
    <row r="46" spans="1:5" ht="26.25" customHeight="1">
      <c r="A46" s="125" t="s">
        <v>21</v>
      </c>
      <c r="B46" s="1083" t="s">
        <v>301</v>
      </c>
      <c r="C46" s="1083"/>
      <c r="D46" s="129">
        <f>ROUND((D44+D45)*(D41-D40),4)</f>
        <v>3.5299999999999998E-2</v>
      </c>
      <c r="E46" s="157">
        <f t="shared" si="1"/>
        <v>70.721784999999997</v>
      </c>
    </row>
    <row r="47" spans="1:5" ht="15" customHeight="1">
      <c r="A47" s="125" t="s">
        <v>22</v>
      </c>
      <c r="B47" s="1083" t="s">
        <v>302</v>
      </c>
      <c r="C47" s="1083"/>
      <c r="D47" s="129">
        <f>ROUND((D44+D45)*D40,4)</f>
        <v>8.8999999999999999E-3</v>
      </c>
      <c r="E47" s="157">
        <f t="shared" si="1"/>
        <v>17.830705000000002</v>
      </c>
    </row>
    <row r="48" spans="1:5">
      <c r="A48" s="158"/>
      <c r="B48" s="151" t="s">
        <v>255</v>
      </c>
      <c r="C48" s="159"/>
      <c r="D48" s="130">
        <f>ROUND(SUM(D44:D47),4)</f>
        <v>0.15529999999999999</v>
      </c>
      <c r="E48" s="160">
        <f>ROUND(SUM(E44:E47),2)</f>
        <v>311.08999999999997</v>
      </c>
    </row>
    <row r="49" spans="1:5">
      <c r="A49" s="158"/>
      <c r="B49" s="148" t="s">
        <v>350</v>
      </c>
      <c r="C49" s="159"/>
      <c r="D49" s="130"/>
      <c r="E49" s="160">
        <f>E48+E41</f>
        <v>1108.46</v>
      </c>
    </row>
    <row r="50" spans="1:5">
      <c r="A50" s="125"/>
      <c r="B50" s="119"/>
      <c r="C50" s="119"/>
      <c r="D50" s="129"/>
      <c r="E50" s="157"/>
    </row>
    <row r="51" spans="1:5">
      <c r="A51" s="878" t="s">
        <v>243</v>
      </c>
      <c r="B51" s="879" t="s">
        <v>347</v>
      </c>
      <c r="C51" s="880"/>
      <c r="D51" s="881"/>
      <c r="E51" s="882"/>
    </row>
    <row r="52" spans="1:5">
      <c r="A52" s="127" t="s">
        <v>18</v>
      </c>
      <c r="B52" s="1085" t="s">
        <v>7</v>
      </c>
      <c r="C52" s="1085"/>
      <c r="D52" s="161">
        <f>ROUND(1/12*'ENTRADA DE DADOS'!D75,5)</f>
        <v>2.5999999999999999E-3</v>
      </c>
      <c r="E52" s="157">
        <f>D52*(E45+E44++E29+E18)</f>
        <v>7.3539928121111116</v>
      </c>
    </row>
    <row r="53" spans="1:5">
      <c r="A53" s="127" t="s">
        <v>1</v>
      </c>
      <c r="B53" s="1085" t="s">
        <v>131</v>
      </c>
      <c r="C53" s="1085"/>
      <c r="D53" s="161">
        <f>ROUND((D52*$D$40),5)</f>
        <v>2.1000000000000001E-4</v>
      </c>
      <c r="E53" s="157">
        <f>D53*(E45+E44+E18)</f>
        <v>0.46745764251666666</v>
      </c>
    </row>
    <row r="54" spans="1:5" ht="25.5" customHeight="1">
      <c r="A54" s="127" t="s">
        <v>343</v>
      </c>
      <c r="B54" s="1082" t="s">
        <v>132</v>
      </c>
      <c r="C54" s="1082"/>
      <c r="D54" s="161">
        <f>D53*0.4</f>
        <v>8.4000000000000009E-5</v>
      </c>
      <c r="E54" s="157">
        <f>D54*(E45+E44+E18)</f>
        <v>0.18698305700666668</v>
      </c>
    </row>
    <row r="55" spans="1:5">
      <c r="A55" s="127" t="s">
        <v>19</v>
      </c>
      <c r="B55" s="128" t="s">
        <v>133</v>
      </c>
      <c r="C55" s="128"/>
      <c r="D55" s="161">
        <f>ROUND(1/30/12*7*'ENTRADA DE DADOS'!D76,5)</f>
        <v>1.0330000000000001E-2</v>
      </c>
      <c r="E55" s="157">
        <f>D55*(E44+E45+E29+E18)</f>
        <v>29.217979134272227</v>
      </c>
    </row>
    <row r="56" spans="1:5">
      <c r="A56" s="127" t="s">
        <v>6</v>
      </c>
      <c r="B56" s="1082" t="s">
        <v>134</v>
      </c>
      <c r="C56" s="1082"/>
      <c r="D56" s="161">
        <f>ROUND(D55*$D$41,5)</f>
        <v>4.1099999999999999E-3</v>
      </c>
      <c r="E56" s="157">
        <f>D56*(E45+E44+E18)</f>
        <v>9.1488138606833331</v>
      </c>
    </row>
    <row r="57" spans="1:5">
      <c r="A57" s="127" t="s">
        <v>344</v>
      </c>
      <c r="B57" s="1082" t="s">
        <v>135</v>
      </c>
      <c r="C57" s="1082"/>
      <c r="D57" s="161">
        <f>$D$55*$D$40*0.4</f>
        <v>3.3056000000000003E-4</v>
      </c>
      <c r="E57" s="157">
        <f>D57*(E44+E45+E18)</f>
        <v>0.73582284909671114</v>
      </c>
    </row>
    <row r="58" spans="1:5">
      <c r="A58" s="138"/>
      <c r="B58" s="148" t="s">
        <v>351</v>
      </c>
      <c r="C58" s="143"/>
      <c r="D58" s="933">
        <f>ROUND(SUM(D52:D57),5)</f>
        <v>1.7659999999999999E-2</v>
      </c>
      <c r="E58" s="160">
        <f>ROUND(SUM(E52:E57),2)</f>
        <v>47.11</v>
      </c>
    </row>
    <row r="59" spans="1:5">
      <c r="A59" s="125"/>
      <c r="B59" s="119"/>
      <c r="C59" s="119"/>
      <c r="D59" s="129"/>
      <c r="E59" s="162"/>
    </row>
    <row r="60" spans="1:5">
      <c r="A60" s="883" t="s">
        <v>348</v>
      </c>
      <c r="B60" s="884" t="s">
        <v>349</v>
      </c>
      <c r="C60" s="885"/>
      <c r="D60" s="881"/>
      <c r="E60" s="886"/>
    </row>
    <row r="61" spans="1:5">
      <c r="A61" s="125" t="s">
        <v>18</v>
      </c>
      <c r="B61" s="1072" t="s">
        <v>256</v>
      </c>
      <c r="C61" s="1072"/>
      <c r="D61" s="129">
        <f>ROUND(1/30*'ENTRADA DE DADOS'!E74/12,4)</f>
        <v>5.7299999999999997E-2</v>
      </c>
      <c r="E61" s="157">
        <f>D61*(E58+E48+E41+E29+E18)</f>
        <v>215.53337699999997</v>
      </c>
    </row>
    <row r="62" spans="1:5">
      <c r="A62" s="127" t="s">
        <v>19</v>
      </c>
      <c r="B62" s="1085" t="s">
        <v>257</v>
      </c>
      <c r="C62" s="1085"/>
      <c r="D62" s="129">
        <f>ROUND(1/30*'ENTRADA DE DADOS'!E73/12,4)</f>
        <v>2.3300000000000001E-2</v>
      </c>
      <c r="E62" s="157">
        <f>D62*(E58+E48+E41+E29+E18)</f>
        <v>87.642717000000005</v>
      </c>
    </row>
    <row r="63" spans="1:5">
      <c r="A63" s="164"/>
      <c r="B63" s="148" t="s">
        <v>352</v>
      </c>
      <c r="C63" s="152"/>
      <c r="D63" s="130">
        <f>ROUND(SUM(D61:D62),4)</f>
        <v>8.0600000000000005E-2</v>
      </c>
      <c r="E63" s="163">
        <f>ROUND(SUM(E61:E62),2)</f>
        <v>303.18</v>
      </c>
    </row>
    <row r="64" spans="1:5">
      <c r="A64" s="125"/>
      <c r="B64" s="119"/>
      <c r="C64" s="119"/>
      <c r="D64" s="129"/>
      <c r="E64" s="162"/>
    </row>
    <row r="65" spans="1:5">
      <c r="A65" s="887"/>
      <c r="B65" s="884" t="s">
        <v>353</v>
      </c>
      <c r="C65" s="885"/>
      <c r="D65" s="881"/>
      <c r="E65" s="888"/>
    </row>
    <row r="66" spans="1:5">
      <c r="A66" s="889"/>
      <c r="B66" s="1081" t="s">
        <v>237</v>
      </c>
      <c r="C66" s="1081"/>
      <c r="D66" s="129"/>
      <c r="E66" s="909">
        <f>E18</f>
        <v>2003.45</v>
      </c>
    </row>
    <row r="67" spans="1:5">
      <c r="A67" s="889"/>
      <c r="B67" s="1081" t="s">
        <v>242</v>
      </c>
      <c r="C67" s="1081"/>
      <c r="D67" s="129"/>
      <c r="E67" s="909">
        <f>E29</f>
        <v>602.47</v>
      </c>
    </row>
    <row r="68" spans="1:5">
      <c r="A68" s="890"/>
      <c r="B68" s="1081" t="s">
        <v>354</v>
      </c>
      <c r="C68" s="1081"/>
      <c r="D68" s="130"/>
      <c r="E68" s="891">
        <f>E49</f>
        <v>1108.46</v>
      </c>
    </row>
    <row r="69" spans="1:5">
      <c r="A69" s="890"/>
      <c r="B69" s="892" t="s">
        <v>351</v>
      </c>
      <c r="C69" s="830"/>
      <c r="D69" s="130"/>
      <c r="E69" s="891">
        <f>E58</f>
        <v>47.11</v>
      </c>
    </row>
    <row r="70" spans="1:5">
      <c r="A70" s="893"/>
      <c r="B70" s="892" t="s">
        <v>352</v>
      </c>
      <c r="C70" s="831"/>
      <c r="D70" s="894"/>
      <c r="E70" s="891">
        <f>E63</f>
        <v>303.18</v>
      </c>
    </row>
    <row r="71" spans="1:5">
      <c r="A71" s="908"/>
      <c r="B71" s="895"/>
      <c r="C71" s="831"/>
      <c r="D71" s="906"/>
      <c r="E71" s="907"/>
    </row>
    <row r="72" spans="1:5">
      <c r="A72" s="896"/>
      <c r="B72" s="897" t="s">
        <v>258</v>
      </c>
      <c r="C72" s="898"/>
      <c r="D72" s="899"/>
      <c r="E72" s="900">
        <f>SUM(E66:E70)</f>
        <v>4064.67</v>
      </c>
    </row>
    <row r="73" spans="1:5">
      <c r="A73" s="901"/>
      <c r="B73" s="902"/>
      <c r="C73" s="903"/>
      <c r="D73" s="904"/>
      <c r="E73" s="905"/>
    </row>
    <row r="94" spans="1:5">
      <c r="A94" s="165"/>
      <c r="B94" s="143"/>
      <c r="C94" s="143"/>
      <c r="D94" s="166"/>
      <c r="E94" s="143"/>
    </row>
  </sheetData>
  <sheetProtection password="89AB" sheet="1" objects="1" scenarios="1"/>
  <protectedRanges>
    <protectedRange sqref="D22 D24" name="Intervalo1"/>
  </protectedRanges>
  <mergeCells count="49">
    <mergeCell ref="B66:C66"/>
    <mergeCell ref="B67:C67"/>
    <mergeCell ref="B68:C68"/>
    <mergeCell ref="B42:C42"/>
    <mergeCell ref="B26:C26"/>
    <mergeCell ref="B28:C28"/>
    <mergeCell ref="B29:C29"/>
    <mergeCell ref="B33:C33"/>
    <mergeCell ref="B34:C34"/>
    <mergeCell ref="B36:C36"/>
    <mergeCell ref="B37:C37"/>
    <mergeCell ref="B38:C38"/>
    <mergeCell ref="B39:C39"/>
    <mergeCell ref="B40:C40"/>
    <mergeCell ref="B35:C35"/>
    <mergeCell ref="B62:C62"/>
    <mergeCell ref="B56:C56"/>
    <mergeCell ref="B57:C57"/>
    <mergeCell ref="B61:C61"/>
    <mergeCell ref="B46:C46"/>
    <mergeCell ref="B19:C19"/>
    <mergeCell ref="B20:C20"/>
    <mergeCell ref="B21:C21"/>
    <mergeCell ref="B25:C25"/>
    <mergeCell ref="B23:C23"/>
    <mergeCell ref="B44:C44"/>
    <mergeCell ref="B47:C47"/>
    <mergeCell ref="B52:C52"/>
    <mergeCell ref="B53:C53"/>
    <mergeCell ref="B54:C54"/>
    <mergeCell ref="B12:C12"/>
    <mergeCell ref="B13:C13"/>
    <mergeCell ref="B14:C14"/>
    <mergeCell ref="B15:C15"/>
    <mergeCell ref="B18:C18"/>
    <mergeCell ref="B8:C8"/>
    <mergeCell ref="D8:E8"/>
    <mergeCell ref="B9:C9"/>
    <mergeCell ref="D9:E9"/>
    <mergeCell ref="B11:C11"/>
    <mergeCell ref="D11:E11"/>
    <mergeCell ref="B7:C7"/>
    <mergeCell ref="A1:E1"/>
    <mergeCell ref="B3:C3"/>
    <mergeCell ref="B4:C4"/>
    <mergeCell ref="D4:E4"/>
    <mergeCell ref="B5:C5"/>
    <mergeCell ref="D5:E5"/>
    <mergeCell ref="B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 tint="0.79998168889431442"/>
  </sheetPr>
  <dimension ref="A1:F94"/>
  <sheetViews>
    <sheetView showGridLines="0" zoomScaleNormal="100" workbookViewId="0">
      <pane ySplit="1" topLeftCell="A8" activePane="bottomLeft" state="frozen"/>
      <selection activeCell="D58" sqref="D58"/>
      <selection pane="bottomLeft" activeCell="A73" sqref="A1:E73"/>
    </sheetView>
  </sheetViews>
  <sheetFormatPr defaultRowHeight="15"/>
  <cols>
    <col min="1" max="1" width="3.5703125" customWidth="1"/>
    <col min="2" max="2" width="19" customWidth="1"/>
    <col min="3" max="3" width="38.5703125" customWidth="1"/>
    <col min="4" max="4" width="9.140625" style="112"/>
    <col min="5" max="5" width="11" customWidth="1"/>
  </cols>
  <sheetData>
    <row r="1" spans="1:5">
      <c r="A1" s="1067" t="str">
        <f>CONCATENATE("MÃO-DE-OBRA"," - ",D10)</f>
        <v>MÃO-DE-OBRA - Coletor de Resíduos</v>
      </c>
      <c r="B1" s="1067"/>
      <c r="C1" s="1067"/>
      <c r="D1" s="1067"/>
      <c r="E1" s="1067"/>
    </row>
    <row r="3" spans="1:5">
      <c r="A3" s="113"/>
      <c r="B3" s="1066" t="s">
        <v>223</v>
      </c>
      <c r="C3" s="1066"/>
      <c r="D3" s="114"/>
      <c r="E3" s="115"/>
    </row>
    <row r="4" spans="1:5">
      <c r="A4" s="449" t="s">
        <v>18</v>
      </c>
      <c r="B4" s="1068" t="s">
        <v>224</v>
      </c>
      <c r="C4" s="1068"/>
      <c r="D4" s="1069">
        <f>'ENTRADA DE DADOS'!C21</f>
        <v>2023</v>
      </c>
      <c r="E4" s="1069"/>
    </row>
    <row r="5" spans="1:5">
      <c r="A5" s="436" t="s">
        <v>19</v>
      </c>
      <c r="B5" s="1070" t="s">
        <v>225</v>
      </c>
      <c r="C5" s="1070"/>
      <c r="D5" s="1071">
        <f>'ENTRADA DE DADOS'!I1</f>
        <v>12</v>
      </c>
      <c r="E5" s="1071"/>
    </row>
    <row r="6" spans="1:5">
      <c r="A6" s="116"/>
      <c r="B6" s="1072"/>
      <c r="C6" s="1072"/>
      <c r="D6" s="117"/>
      <c r="E6" s="116"/>
    </row>
    <row r="7" spans="1:5">
      <c r="A7" s="113"/>
      <c r="B7" s="1066" t="s">
        <v>226</v>
      </c>
      <c r="C7" s="1066"/>
      <c r="D7" s="114"/>
      <c r="E7" s="115"/>
    </row>
    <row r="8" spans="1:5">
      <c r="A8" s="430" t="s">
        <v>18</v>
      </c>
      <c r="B8" s="1073" t="s">
        <v>227</v>
      </c>
      <c r="C8" s="1073"/>
      <c r="D8" s="1074">
        <f>'ENTRADA DE DADOS'!C19</f>
        <v>1574.02</v>
      </c>
      <c r="E8" s="1074"/>
    </row>
    <row r="9" spans="1:5">
      <c r="A9" s="430" t="s">
        <v>19</v>
      </c>
      <c r="B9" s="1075" t="s">
        <v>228</v>
      </c>
      <c r="C9" s="1075"/>
      <c r="D9" s="1074">
        <f>'ENTRADA DE DADOS'!C22</f>
        <v>2203.6</v>
      </c>
      <c r="E9" s="1074"/>
    </row>
    <row r="10" spans="1:5">
      <c r="A10" s="430" t="s">
        <v>21</v>
      </c>
      <c r="B10" s="431" t="s">
        <v>229</v>
      </c>
      <c r="C10" s="432"/>
      <c r="D10" s="433" t="str">
        <f>'ENTRADA DE DADOS'!C10</f>
        <v>Coletor de Resíduos</v>
      </c>
      <c r="E10" s="434"/>
    </row>
    <row r="11" spans="1:5">
      <c r="A11" s="435" t="s">
        <v>22</v>
      </c>
      <c r="B11" s="1076" t="s">
        <v>230</v>
      </c>
      <c r="C11" s="1076"/>
      <c r="D11" s="1077" t="str">
        <f>'ENTRADA DE DADOS'!C20</f>
        <v>1º de janeiro</v>
      </c>
      <c r="E11" s="1078"/>
    </row>
    <row r="12" spans="1:5">
      <c r="A12" s="116"/>
      <c r="B12" s="1072"/>
      <c r="C12" s="1072"/>
      <c r="D12" s="118"/>
      <c r="E12" s="119"/>
    </row>
    <row r="13" spans="1:5">
      <c r="A13" s="113"/>
      <c r="B13" s="1079" t="s">
        <v>231</v>
      </c>
      <c r="C13" s="1079"/>
      <c r="D13" s="120"/>
      <c r="E13" s="121"/>
    </row>
    <row r="14" spans="1:5">
      <c r="A14" s="122" t="s">
        <v>232</v>
      </c>
      <c r="B14" s="1080" t="s">
        <v>233</v>
      </c>
      <c r="C14" s="1080"/>
      <c r="D14" s="123" t="s">
        <v>37</v>
      </c>
      <c r="E14" s="124" t="s">
        <v>234</v>
      </c>
    </row>
    <row r="15" spans="1:5">
      <c r="A15" s="125" t="s">
        <v>18</v>
      </c>
      <c r="B15" s="1072" t="s">
        <v>235</v>
      </c>
      <c r="C15" s="1072"/>
      <c r="D15" s="118">
        <f>'ENTRADA DE DADOS'!C23</f>
        <v>1</v>
      </c>
      <c r="E15" s="126">
        <f>D15*$D$9</f>
        <v>2203.6</v>
      </c>
    </row>
    <row r="16" spans="1:5">
      <c r="A16" s="125" t="s">
        <v>19</v>
      </c>
      <c r="B16" s="167" t="s">
        <v>10</v>
      </c>
      <c r="C16" s="167"/>
      <c r="D16" s="118">
        <f>'ENTRADA DE DADOS'!C25</f>
        <v>0.4</v>
      </c>
      <c r="E16" s="126">
        <f>'ENTRADA DE DADOS'!C19*D16</f>
        <v>629.60800000000006</v>
      </c>
    </row>
    <row r="17" spans="1:5">
      <c r="A17" s="125" t="s">
        <v>21</v>
      </c>
      <c r="B17" s="128" t="str">
        <f>'ENTRADA DE DADOS'!A26</f>
        <v>Outros (especificar)</v>
      </c>
      <c r="C17" s="128"/>
      <c r="D17" s="118"/>
      <c r="E17" s="126">
        <f>'ENTRADA DE DADOS'!C26</f>
        <v>0</v>
      </c>
    </row>
    <row r="18" spans="1:5">
      <c r="A18" s="125"/>
      <c r="B18" s="1081" t="s">
        <v>237</v>
      </c>
      <c r="C18" s="1081"/>
      <c r="D18" s="130">
        <v>1</v>
      </c>
      <c r="E18" s="131">
        <f>ROUND(SUM(E15:E17),2)</f>
        <v>2833.21</v>
      </c>
    </row>
    <row r="19" spans="1:5">
      <c r="A19" s="132"/>
      <c r="B19" s="1084"/>
      <c r="C19" s="1084"/>
      <c r="D19" s="133"/>
      <c r="E19" s="134"/>
    </row>
    <row r="20" spans="1:5">
      <c r="A20" s="122" t="s">
        <v>238</v>
      </c>
      <c r="B20" s="1080" t="s">
        <v>239</v>
      </c>
      <c r="C20" s="1080"/>
      <c r="D20" s="135"/>
      <c r="E20" s="136" t="s">
        <v>240</v>
      </c>
    </row>
    <row r="21" spans="1:5">
      <c r="A21" s="125" t="s">
        <v>18</v>
      </c>
      <c r="B21" s="1072" t="s">
        <v>33</v>
      </c>
      <c r="C21" s="1072"/>
      <c r="D21" s="137"/>
      <c r="E21" s="126">
        <f>IF('ENTRADA DE DADOS'!C33&gt;0,'ENTRADA DE DADOS'!C33,('ENTRADA DE DADOS'!C29*'ENTRADA DE DADOS'!C30*'ENTRADA DE DADOS'!C31)-($E$15*'ENTRADA DE DADOS'!C32))</f>
        <v>0</v>
      </c>
    </row>
    <row r="22" spans="1:5">
      <c r="A22" s="125" t="s">
        <v>1</v>
      </c>
      <c r="B22" s="167" t="s">
        <v>169</v>
      </c>
      <c r="C22" s="167"/>
      <c r="D22" s="384">
        <f>'MO - Operador de roçadeira'!D22</f>
        <v>0</v>
      </c>
      <c r="E22" s="126">
        <f>-E21*D22</f>
        <v>0</v>
      </c>
    </row>
    <row r="23" spans="1:5">
      <c r="A23" s="125" t="s">
        <v>19</v>
      </c>
      <c r="B23" s="1072" t="s">
        <v>241</v>
      </c>
      <c r="C23" s="1072"/>
      <c r="D23" s="137"/>
      <c r="E23" s="126">
        <f>SUM('ENTRADA DE DADOS'!C36:C40)</f>
        <v>521.46960000000001</v>
      </c>
    </row>
    <row r="24" spans="1:5">
      <c r="A24" s="125" t="s">
        <v>6</v>
      </c>
      <c r="B24" s="167" t="s">
        <v>169</v>
      </c>
      <c r="C24" s="167"/>
      <c r="D24" s="384">
        <f>D22</f>
        <v>0</v>
      </c>
      <c r="E24" s="126">
        <f>-E23*D24</f>
        <v>0</v>
      </c>
    </row>
    <row r="25" spans="1:5">
      <c r="A25" s="125" t="s">
        <v>21</v>
      </c>
      <c r="B25" s="1072" t="s">
        <v>281</v>
      </c>
      <c r="C25" s="1072"/>
      <c r="D25" s="137"/>
      <c r="E25" s="126">
        <f>'ENTRADA DE DADOS'!C43</f>
        <v>62.5</v>
      </c>
    </row>
    <row r="26" spans="1:5">
      <c r="A26" s="125" t="s">
        <v>22</v>
      </c>
      <c r="B26" s="1072" t="s">
        <v>278</v>
      </c>
      <c r="C26" s="1072"/>
      <c r="D26" s="137"/>
      <c r="E26" s="126">
        <f>'ENTRADA DE DADOS'!C44</f>
        <v>18.5</v>
      </c>
    </row>
    <row r="27" spans="1:5">
      <c r="A27" s="125" t="s">
        <v>23</v>
      </c>
      <c r="B27" s="119" t="s">
        <v>200</v>
      </c>
      <c r="C27" s="119"/>
      <c r="D27" s="137"/>
      <c r="E27" s="126">
        <f>'ENTRADA DE DADOS'!C45</f>
        <v>0</v>
      </c>
    </row>
    <row r="28" spans="1:5">
      <c r="A28" s="125" t="s">
        <v>24</v>
      </c>
      <c r="B28" s="1072" t="str">
        <f>'ENTRADA DE DADOS'!A46</f>
        <v>Outros benefícios (especificar)</v>
      </c>
      <c r="C28" s="1072"/>
      <c r="D28" s="137"/>
      <c r="E28" s="126">
        <f>'ENTRADA DE DADOS'!C46</f>
        <v>0</v>
      </c>
    </row>
    <row r="29" spans="1:5">
      <c r="A29" s="138"/>
      <c r="B29" s="1081" t="s">
        <v>242</v>
      </c>
      <c r="C29" s="1081"/>
      <c r="D29" s="379">
        <f>E29/E18</f>
        <v>0.21264572693164291</v>
      </c>
      <c r="E29" s="131">
        <f>ROUND(SUM(E21:E28),2)</f>
        <v>602.47</v>
      </c>
    </row>
    <row r="30" spans="1:5">
      <c r="A30" s="139"/>
      <c r="B30" s="140"/>
      <c r="C30" s="140"/>
      <c r="D30" s="141"/>
      <c r="E30" s="142"/>
    </row>
    <row r="31" spans="1:5">
      <c r="A31" s="122" t="s">
        <v>243</v>
      </c>
      <c r="B31" s="144" t="s">
        <v>244</v>
      </c>
      <c r="C31" s="145"/>
      <c r="D31" s="146"/>
      <c r="E31" s="136"/>
    </row>
    <row r="32" spans="1:5">
      <c r="A32" s="147"/>
      <c r="B32" s="148" t="s">
        <v>245</v>
      </c>
      <c r="C32" s="143"/>
      <c r="D32" s="130" t="s">
        <v>37</v>
      </c>
      <c r="E32" s="149" t="s">
        <v>246</v>
      </c>
    </row>
    <row r="33" spans="1:5">
      <c r="A33" s="125" t="s">
        <v>18</v>
      </c>
      <c r="B33" s="1072" t="s">
        <v>247</v>
      </c>
      <c r="C33" s="1072"/>
      <c r="D33" s="129">
        <f>'ENTRADA DE DADOS'!B49</f>
        <v>0.2</v>
      </c>
      <c r="E33" s="150">
        <f t="shared" ref="E33:E40" si="0">E$18*D33</f>
        <v>566.64200000000005</v>
      </c>
    </row>
    <row r="34" spans="1:5">
      <c r="A34" s="125" t="s">
        <v>19</v>
      </c>
      <c r="B34" s="1072" t="s">
        <v>248</v>
      </c>
      <c r="C34" s="1072"/>
      <c r="D34" s="129">
        <f>'ENTRADA DE DADOS'!B50</f>
        <v>1.4999999999999999E-2</v>
      </c>
      <c r="E34" s="150">
        <f t="shared" si="0"/>
        <v>42.498149999999995</v>
      </c>
    </row>
    <row r="35" spans="1:5">
      <c r="A35" s="125" t="s">
        <v>21</v>
      </c>
      <c r="B35" s="1072" t="s">
        <v>249</v>
      </c>
      <c r="C35" s="1072"/>
      <c r="D35" s="129">
        <f>'ENTRADA DE DADOS'!B51</f>
        <v>0.01</v>
      </c>
      <c r="E35" s="150">
        <f t="shared" si="0"/>
        <v>28.332100000000001</v>
      </c>
    </row>
    <row r="36" spans="1:5">
      <c r="A36" s="125" t="s">
        <v>22</v>
      </c>
      <c r="B36" s="1072" t="s">
        <v>3</v>
      </c>
      <c r="C36" s="1072"/>
      <c r="D36" s="129">
        <f>'ENTRADA DE DADOS'!B52</f>
        <v>2E-3</v>
      </c>
      <c r="E36" s="150">
        <f t="shared" si="0"/>
        <v>5.6664200000000005</v>
      </c>
    </row>
    <row r="37" spans="1:5">
      <c r="A37" s="125" t="s">
        <v>23</v>
      </c>
      <c r="B37" s="1072" t="s">
        <v>250</v>
      </c>
      <c r="C37" s="1072"/>
      <c r="D37" s="129">
        <f>'ENTRADA DE DADOS'!B53</f>
        <v>2.5000000000000001E-2</v>
      </c>
      <c r="E37" s="150">
        <f t="shared" si="0"/>
        <v>70.830250000000007</v>
      </c>
    </row>
    <row r="38" spans="1:5">
      <c r="A38" s="125" t="s">
        <v>24</v>
      </c>
      <c r="B38" s="1072" t="s">
        <v>2</v>
      </c>
      <c r="C38" s="1072"/>
      <c r="D38" s="129">
        <f>'ENTRADA DE DADOS'!B54</f>
        <v>6.0000000000000001E-3</v>
      </c>
      <c r="E38" s="150">
        <f t="shared" si="0"/>
        <v>16.99926</v>
      </c>
    </row>
    <row r="39" spans="1:5">
      <c r="A39" s="125" t="s">
        <v>341</v>
      </c>
      <c r="B39" s="1072" t="s">
        <v>251</v>
      </c>
      <c r="C39" s="1072"/>
      <c r="D39" s="129">
        <f>'ENTRADA DE DADOS'!B55</f>
        <v>0.06</v>
      </c>
      <c r="E39" s="150">
        <f t="shared" si="0"/>
        <v>169.99259999999998</v>
      </c>
    </row>
    <row r="40" spans="1:5">
      <c r="A40" s="125" t="s">
        <v>342</v>
      </c>
      <c r="B40" s="1072" t="s">
        <v>5</v>
      </c>
      <c r="C40" s="1072"/>
      <c r="D40" s="129">
        <f>'ENTRADA DE DADOS'!B56</f>
        <v>0.08</v>
      </c>
      <c r="E40" s="150">
        <f t="shared" si="0"/>
        <v>226.6568</v>
      </c>
    </row>
    <row r="41" spans="1:5">
      <c r="A41" s="147"/>
      <c r="B41" s="151" t="s">
        <v>252</v>
      </c>
      <c r="C41" s="152"/>
      <c r="D41" s="130">
        <f>ROUND(SUM(D33:D40),4)</f>
        <v>0.39800000000000002</v>
      </c>
      <c r="E41" s="153">
        <f>ROUND(SUM(E33:E40),2)</f>
        <v>1127.6199999999999</v>
      </c>
    </row>
    <row r="42" spans="1:5">
      <c r="A42" s="154"/>
      <c r="B42" s="1086"/>
      <c r="C42" s="1086"/>
      <c r="D42" s="155"/>
      <c r="E42" s="156"/>
    </row>
    <row r="43" spans="1:5">
      <c r="A43" s="147"/>
      <c r="B43" s="148" t="s">
        <v>253</v>
      </c>
      <c r="C43" s="143"/>
      <c r="D43" s="130" t="s">
        <v>37</v>
      </c>
      <c r="E43" s="149" t="s">
        <v>246</v>
      </c>
    </row>
    <row r="44" spans="1:5">
      <c r="A44" s="125" t="s">
        <v>18</v>
      </c>
      <c r="B44" s="1072" t="s">
        <v>254</v>
      </c>
      <c r="C44" s="1072"/>
      <c r="D44" s="129">
        <f>ROUND(1/12,4)</f>
        <v>8.3299999999999999E-2</v>
      </c>
      <c r="E44" s="157">
        <f>E$18*D44</f>
        <v>236.006393</v>
      </c>
    </row>
    <row r="45" spans="1:5">
      <c r="A45" s="125" t="s">
        <v>19</v>
      </c>
      <c r="B45" s="378" t="s">
        <v>304</v>
      </c>
      <c r="C45" s="378"/>
      <c r="D45" s="129">
        <f>(1/3)/12</f>
        <v>2.7777777777777776E-2</v>
      </c>
      <c r="E45" s="157">
        <f t="shared" ref="E45:E47" si="1">E$18*D45</f>
        <v>78.700277777777771</v>
      </c>
    </row>
    <row r="46" spans="1:5" ht="21.75" customHeight="1">
      <c r="A46" s="125" t="s">
        <v>21</v>
      </c>
      <c r="B46" s="1083" t="s">
        <v>301</v>
      </c>
      <c r="C46" s="1083"/>
      <c r="D46" s="129">
        <f>ROUND((D44+D45)*(D41-D40),4)</f>
        <v>3.5299999999999998E-2</v>
      </c>
      <c r="E46" s="157">
        <f t="shared" si="1"/>
        <v>100.01231299999999</v>
      </c>
    </row>
    <row r="47" spans="1:5" ht="15" customHeight="1">
      <c r="A47" s="125" t="s">
        <v>22</v>
      </c>
      <c r="B47" s="1083" t="s">
        <v>302</v>
      </c>
      <c r="C47" s="1083"/>
      <c r="D47" s="129">
        <f>ROUND((D44+D45)*D40,4)</f>
        <v>8.8999999999999999E-3</v>
      </c>
      <c r="E47" s="157">
        <f t="shared" si="1"/>
        <v>25.215568999999999</v>
      </c>
    </row>
    <row r="48" spans="1:5">
      <c r="A48" s="158"/>
      <c r="B48" s="151" t="s">
        <v>255</v>
      </c>
      <c r="C48" s="159"/>
      <c r="D48" s="130">
        <f>ROUND(SUM(D44:D47),4)</f>
        <v>0.15529999999999999</v>
      </c>
      <c r="E48" s="160">
        <f>ROUND(SUM(E44:E47),2)</f>
        <v>439.93</v>
      </c>
    </row>
    <row r="49" spans="1:6">
      <c r="A49" s="158"/>
      <c r="B49" s="148" t="s">
        <v>350</v>
      </c>
      <c r="C49" s="159"/>
      <c r="D49" s="130"/>
      <c r="E49" s="160">
        <f>E48+E41</f>
        <v>1567.55</v>
      </c>
    </row>
    <row r="50" spans="1:6">
      <c r="A50" s="125"/>
      <c r="B50" s="119"/>
      <c r="C50" s="119"/>
      <c r="D50" s="129"/>
      <c r="E50" s="157"/>
    </row>
    <row r="51" spans="1:6">
      <c r="A51" s="878" t="s">
        <v>243</v>
      </c>
      <c r="B51" s="879" t="s">
        <v>347</v>
      </c>
      <c r="C51" s="880"/>
      <c r="D51" s="881"/>
      <c r="E51" s="882"/>
    </row>
    <row r="52" spans="1:6">
      <c r="A52" s="127" t="s">
        <v>18</v>
      </c>
      <c r="B52" s="1085" t="s">
        <v>7</v>
      </c>
      <c r="C52" s="1085"/>
      <c r="D52" s="161">
        <f>ROUND(1/12*'ENTRADA DE DADOS'!D75,5)</f>
        <v>2.5999999999999999E-3</v>
      </c>
      <c r="E52" s="157">
        <f>D52*(E45+E44++E29+E18)</f>
        <v>9.7510053440222215</v>
      </c>
      <c r="F52" s="380"/>
    </row>
    <row r="53" spans="1:6">
      <c r="A53" s="127" t="s">
        <v>1</v>
      </c>
      <c r="B53" s="1085" t="s">
        <v>131</v>
      </c>
      <c r="C53" s="1085"/>
      <c r="D53" s="161">
        <f>ROUND((D52*$D$40),5)</f>
        <v>2.1000000000000001E-4</v>
      </c>
      <c r="E53" s="157">
        <f>D53*(E45+E44+E18)</f>
        <v>0.66106250086333329</v>
      </c>
    </row>
    <row r="54" spans="1:6" ht="25.5" customHeight="1">
      <c r="A54" s="127" t="s">
        <v>343</v>
      </c>
      <c r="B54" s="1082" t="s">
        <v>132</v>
      </c>
      <c r="C54" s="1082"/>
      <c r="D54" s="161">
        <f>D53*0.4</f>
        <v>8.4000000000000009E-5</v>
      </c>
      <c r="E54" s="157">
        <f>D54*(E45+E44+E18)</f>
        <v>0.26442500034533334</v>
      </c>
    </row>
    <row r="55" spans="1:6">
      <c r="A55" s="127" t="s">
        <v>19</v>
      </c>
      <c r="B55" s="128" t="s">
        <v>133</v>
      </c>
      <c r="C55" s="128"/>
      <c r="D55" s="161">
        <f>ROUND(1/30/12*7*'ENTRADA DE DADOS'!D76,5)</f>
        <v>1.0330000000000001E-2</v>
      </c>
      <c r="E55" s="157">
        <f>D55*(E44+E45+E29+E18)</f>
        <v>38.741494309134445</v>
      </c>
    </row>
    <row r="56" spans="1:6">
      <c r="A56" s="127" t="s">
        <v>6</v>
      </c>
      <c r="B56" s="1082" t="s">
        <v>134</v>
      </c>
      <c r="C56" s="1082"/>
      <c r="D56" s="161">
        <f>ROUND(D55*$D$41,5)</f>
        <v>4.1099999999999999E-3</v>
      </c>
      <c r="E56" s="157">
        <f>D56*(E45+E44+E18)</f>
        <v>12.937937516896666</v>
      </c>
    </row>
    <row r="57" spans="1:6">
      <c r="A57" s="127" t="s">
        <v>344</v>
      </c>
      <c r="B57" s="1082" t="s">
        <v>135</v>
      </c>
      <c r="C57" s="1082"/>
      <c r="D57" s="161">
        <f>$D$55*$D$40*0.4</f>
        <v>3.3056000000000003E-4</v>
      </c>
      <c r="E57" s="157">
        <f>D57*(E44+E45+E18)</f>
        <v>1.0405753346923023</v>
      </c>
    </row>
    <row r="58" spans="1:6">
      <c r="A58" s="138"/>
      <c r="B58" s="148" t="s">
        <v>351</v>
      </c>
      <c r="C58" s="143"/>
      <c r="D58" s="933">
        <f>ROUND(SUM(D52:D57),5)</f>
        <v>1.7659999999999999E-2</v>
      </c>
      <c r="E58" s="160">
        <f>ROUND(SUM(E52:E57),2)</f>
        <v>63.4</v>
      </c>
    </row>
    <row r="59" spans="1:6">
      <c r="A59" s="125"/>
      <c r="B59" s="119"/>
      <c r="C59" s="119"/>
      <c r="D59" s="129"/>
      <c r="E59" s="162"/>
    </row>
    <row r="60" spans="1:6">
      <c r="A60" s="883" t="s">
        <v>348</v>
      </c>
      <c r="B60" s="884" t="s">
        <v>349</v>
      </c>
      <c r="C60" s="885"/>
      <c r="D60" s="881"/>
      <c r="E60" s="886"/>
    </row>
    <row r="61" spans="1:6">
      <c r="A61" s="125" t="s">
        <v>18</v>
      </c>
      <c r="B61" s="1072" t="s">
        <v>256</v>
      </c>
      <c r="C61" s="1072"/>
      <c r="D61" s="129">
        <f>ROUND(1/30*'ENTRADA DE DADOS'!E74/12,4)</f>
        <v>5.7299999999999997E-2</v>
      </c>
      <c r="E61" s="157">
        <f>D61*(E58+E48+E41+E29+E18)</f>
        <v>290.31789900000001</v>
      </c>
    </row>
    <row r="62" spans="1:6">
      <c r="A62" s="127" t="s">
        <v>19</v>
      </c>
      <c r="B62" s="1085" t="s">
        <v>257</v>
      </c>
      <c r="C62" s="1085"/>
      <c r="D62" s="129">
        <f>ROUND(1/30*'ENTRADA DE DADOS'!E73/12,4)</f>
        <v>2.3300000000000001E-2</v>
      </c>
      <c r="E62" s="157">
        <f>D62*(E58+E48+E41+E29+E18)</f>
        <v>118.05247900000001</v>
      </c>
    </row>
    <row r="63" spans="1:6">
      <c r="A63" s="164"/>
      <c r="B63" s="148" t="s">
        <v>352</v>
      </c>
      <c r="C63" s="152"/>
      <c r="D63" s="130">
        <f>ROUND(SUM(D61:D62),4)</f>
        <v>8.0600000000000005E-2</v>
      </c>
      <c r="E63" s="163">
        <f>ROUND(SUM(E61:E62),2)</f>
        <v>408.37</v>
      </c>
    </row>
    <row r="64" spans="1:6">
      <c r="A64" s="125"/>
      <c r="B64" s="119"/>
      <c r="C64" s="119"/>
      <c r="D64" s="129"/>
      <c r="E64" s="162"/>
    </row>
    <row r="65" spans="1:5">
      <c r="A65" s="887"/>
      <c r="B65" s="884" t="s">
        <v>353</v>
      </c>
      <c r="C65" s="885"/>
      <c r="D65" s="881"/>
      <c r="E65" s="888"/>
    </row>
    <row r="66" spans="1:5">
      <c r="A66" s="889"/>
      <c r="B66" s="1081" t="s">
        <v>237</v>
      </c>
      <c r="C66" s="1081"/>
      <c r="D66" s="129"/>
      <c r="E66" s="909">
        <f>E18</f>
        <v>2833.21</v>
      </c>
    </row>
    <row r="67" spans="1:5">
      <c r="A67" s="889"/>
      <c r="B67" s="1081" t="s">
        <v>242</v>
      </c>
      <c r="C67" s="1081"/>
      <c r="D67" s="129"/>
      <c r="E67" s="909">
        <f>E29</f>
        <v>602.47</v>
      </c>
    </row>
    <row r="68" spans="1:5">
      <c r="A68" s="890"/>
      <c r="B68" s="1081" t="s">
        <v>354</v>
      </c>
      <c r="C68" s="1081"/>
      <c r="D68" s="130"/>
      <c r="E68" s="891">
        <f>E49</f>
        <v>1567.55</v>
      </c>
    </row>
    <row r="69" spans="1:5">
      <c r="A69" s="890"/>
      <c r="B69" s="892" t="s">
        <v>351</v>
      </c>
      <c r="C69" s="830"/>
      <c r="D69" s="130"/>
      <c r="E69" s="891">
        <f>E58</f>
        <v>63.4</v>
      </c>
    </row>
    <row r="70" spans="1:5">
      <c r="A70" s="893"/>
      <c r="B70" s="892" t="s">
        <v>352</v>
      </c>
      <c r="C70" s="831"/>
      <c r="D70" s="894"/>
      <c r="E70" s="891">
        <f>E63</f>
        <v>408.37</v>
      </c>
    </row>
    <row r="71" spans="1:5">
      <c r="A71" s="908"/>
      <c r="B71" s="895"/>
      <c r="C71" s="831"/>
      <c r="D71" s="906"/>
      <c r="E71" s="907"/>
    </row>
    <row r="72" spans="1:5">
      <c r="A72" s="896"/>
      <c r="B72" s="897" t="s">
        <v>258</v>
      </c>
      <c r="C72" s="898"/>
      <c r="D72" s="899"/>
      <c r="E72" s="900">
        <f>SUM(E66:E70)</f>
        <v>5475</v>
      </c>
    </row>
    <row r="73" spans="1:5">
      <c r="A73" s="901"/>
      <c r="B73" s="902"/>
      <c r="C73" s="903"/>
      <c r="D73" s="904"/>
      <c r="E73" s="905"/>
    </row>
    <row r="94" spans="1:5">
      <c r="A94" s="165"/>
      <c r="B94" s="143"/>
      <c r="C94" s="143"/>
      <c r="D94" s="166"/>
      <c r="E94" s="143"/>
    </row>
  </sheetData>
  <sheetProtection password="89AB" sheet="1" objects="1" scenarios="1"/>
  <protectedRanges>
    <protectedRange sqref="D22 D24" name="Intervalo1"/>
  </protectedRanges>
  <mergeCells count="49">
    <mergeCell ref="B66:C66"/>
    <mergeCell ref="B67:C67"/>
    <mergeCell ref="B68:C68"/>
    <mergeCell ref="B57:C57"/>
    <mergeCell ref="B61:C61"/>
    <mergeCell ref="B62:C62"/>
    <mergeCell ref="B56:C56"/>
    <mergeCell ref="B37:C37"/>
    <mergeCell ref="B38:C38"/>
    <mergeCell ref="B39:C39"/>
    <mergeCell ref="B40:C40"/>
    <mergeCell ref="B42:C42"/>
    <mergeCell ref="B44:C44"/>
    <mergeCell ref="B47:C47"/>
    <mergeCell ref="B52:C52"/>
    <mergeCell ref="B53:C53"/>
    <mergeCell ref="B54:C54"/>
    <mergeCell ref="B46:C46"/>
    <mergeCell ref="B36:C36"/>
    <mergeCell ref="B19:C19"/>
    <mergeCell ref="B20:C20"/>
    <mergeCell ref="B21:C21"/>
    <mergeCell ref="B23:C23"/>
    <mergeCell ref="B25:C25"/>
    <mergeCell ref="B26:C26"/>
    <mergeCell ref="B28:C28"/>
    <mergeCell ref="B29:C29"/>
    <mergeCell ref="B33:C33"/>
    <mergeCell ref="B34:C34"/>
    <mergeCell ref="B35:C35"/>
    <mergeCell ref="B18:C18"/>
    <mergeCell ref="B8:C8"/>
    <mergeCell ref="D8:E8"/>
    <mergeCell ref="B9:C9"/>
    <mergeCell ref="D9:E9"/>
    <mergeCell ref="B11:C11"/>
    <mergeCell ref="D11:E11"/>
    <mergeCell ref="B12:C12"/>
    <mergeCell ref="B13:C13"/>
    <mergeCell ref="B14:C14"/>
    <mergeCell ref="B15:C15"/>
    <mergeCell ref="B7:C7"/>
    <mergeCell ref="A1:E1"/>
    <mergeCell ref="B3:C3"/>
    <mergeCell ref="B4:C4"/>
    <mergeCell ref="D4:E4"/>
    <mergeCell ref="B5:C5"/>
    <mergeCell ref="D5:E5"/>
    <mergeCell ref="B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 tint="0.79998168889431442"/>
  </sheetPr>
  <dimension ref="A1:E94"/>
  <sheetViews>
    <sheetView showGridLines="0" workbookViewId="0">
      <pane ySplit="1" topLeftCell="A50" activePane="bottomLeft" state="frozen"/>
      <selection activeCell="F51" sqref="F51"/>
      <selection pane="bottomLeft" activeCell="A73" sqref="A1:E73"/>
    </sheetView>
  </sheetViews>
  <sheetFormatPr defaultRowHeight="15"/>
  <cols>
    <col min="1" max="1" width="3.5703125" customWidth="1"/>
    <col min="2" max="2" width="19" customWidth="1"/>
    <col min="3" max="3" width="38.5703125" customWidth="1"/>
    <col min="4" max="4" width="9.140625" style="112"/>
    <col min="5" max="5" width="11" customWidth="1"/>
  </cols>
  <sheetData>
    <row r="1" spans="1:5">
      <c r="A1" s="1067" t="str">
        <f>CONCATENATE("MÃO-DE-OBRA"," - ",D10)</f>
        <v>MÃO-DE-OBRA - Motorista</v>
      </c>
      <c r="B1" s="1067"/>
      <c r="C1" s="1067"/>
      <c r="D1" s="1067"/>
      <c r="E1" s="1067"/>
    </row>
    <row r="3" spans="1:5">
      <c r="A3" s="113"/>
      <c r="B3" s="1066" t="s">
        <v>223</v>
      </c>
      <c r="C3" s="1066"/>
      <c r="D3" s="114"/>
      <c r="E3" s="115"/>
    </row>
    <row r="4" spans="1:5">
      <c r="A4" s="449" t="s">
        <v>18</v>
      </c>
      <c r="B4" s="1068" t="s">
        <v>224</v>
      </c>
      <c r="C4" s="1068"/>
      <c r="D4" s="1069">
        <f>'ENTRADA DE DADOS'!D21</f>
        <v>2023</v>
      </c>
      <c r="E4" s="1069"/>
    </row>
    <row r="5" spans="1:5">
      <c r="A5" s="436" t="s">
        <v>19</v>
      </c>
      <c r="B5" s="1070" t="s">
        <v>225</v>
      </c>
      <c r="C5" s="1070"/>
      <c r="D5" s="1071">
        <f>'ENTRADA DE DADOS'!I1</f>
        <v>12</v>
      </c>
      <c r="E5" s="1071"/>
    </row>
    <row r="6" spans="1:5">
      <c r="A6" s="116"/>
      <c r="B6" s="1072"/>
      <c r="C6" s="1072"/>
      <c r="D6" s="117"/>
      <c r="E6" s="116"/>
    </row>
    <row r="7" spans="1:5">
      <c r="A7" s="113"/>
      <c r="B7" s="1066" t="s">
        <v>226</v>
      </c>
      <c r="C7" s="1066"/>
      <c r="D7" s="114"/>
      <c r="E7" s="115"/>
    </row>
    <row r="8" spans="1:5">
      <c r="A8" s="430" t="s">
        <v>18</v>
      </c>
      <c r="B8" s="1073" t="s">
        <v>227</v>
      </c>
      <c r="C8" s="1073"/>
      <c r="D8" s="1074">
        <f>'ENTRADA DE DADOS'!D19</f>
        <v>1986.54</v>
      </c>
      <c r="E8" s="1074"/>
    </row>
    <row r="9" spans="1:5">
      <c r="A9" s="430" t="s">
        <v>19</v>
      </c>
      <c r="B9" s="1075" t="s">
        <v>228</v>
      </c>
      <c r="C9" s="1075"/>
      <c r="D9" s="1074">
        <f>'ENTRADA DE DADOS'!D22</f>
        <v>1986.54</v>
      </c>
      <c r="E9" s="1074"/>
    </row>
    <row r="10" spans="1:5">
      <c r="A10" s="430" t="s">
        <v>21</v>
      </c>
      <c r="B10" s="431" t="s">
        <v>229</v>
      </c>
      <c r="C10" s="432"/>
      <c r="D10" s="1088" t="str">
        <f>'ENTRADA DE DADOS'!D10</f>
        <v>Motorista</v>
      </c>
      <c r="E10" s="1089"/>
    </row>
    <row r="11" spans="1:5">
      <c r="A11" s="435" t="s">
        <v>22</v>
      </c>
      <c r="B11" s="1076" t="s">
        <v>230</v>
      </c>
      <c r="C11" s="1076"/>
      <c r="D11" s="1087" t="str">
        <f>'ENTRADA DE DADOS'!D20</f>
        <v>1º de janeiro</v>
      </c>
      <c r="E11" s="1078"/>
    </row>
    <row r="12" spans="1:5">
      <c r="A12" s="116"/>
      <c r="B12" s="1072"/>
      <c r="C12" s="1072"/>
      <c r="D12" s="118"/>
      <c r="E12" s="119"/>
    </row>
    <row r="13" spans="1:5">
      <c r="A13" s="113"/>
      <c r="B13" s="1079" t="s">
        <v>231</v>
      </c>
      <c r="C13" s="1079"/>
      <c r="D13" s="120"/>
      <c r="E13" s="121"/>
    </row>
    <row r="14" spans="1:5">
      <c r="A14" s="122" t="s">
        <v>232</v>
      </c>
      <c r="B14" s="1080" t="s">
        <v>233</v>
      </c>
      <c r="C14" s="1080"/>
      <c r="D14" s="123" t="s">
        <v>37</v>
      </c>
      <c r="E14" s="124" t="s">
        <v>234</v>
      </c>
    </row>
    <row r="15" spans="1:5">
      <c r="A15" s="125" t="s">
        <v>18</v>
      </c>
      <c r="B15" s="1072" t="s">
        <v>235</v>
      </c>
      <c r="C15" s="1072"/>
      <c r="D15" s="118">
        <f>'ENTRADA DE DADOS'!D23</f>
        <v>1</v>
      </c>
      <c r="E15" s="126">
        <f>D15*$D$9</f>
        <v>1986.54</v>
      </c>
    </row>
    <row r="16" spans="1:5">
      <c r="A16" s="125" t="s">
        <v>19</v>
      </c>
      <c r="B16" s="167" t="s">
        <v>10</v>
      </c>
      <c r="C16" s="167"/>
      <c r="D16" s="118">
        <f>'ENTRADA DE DADOS'!D25</f>
        <v>0</v>
      </c>
      <c r="E16" s="126">
        <f>'ENTRADA DE DADOS'!D19*D16</f>
        <v>0</v>
      </c>
    </row>
    <row r="17" spans="1:5">
      <c r="A17" s="125" t="s">
        <v>21</v>
      </c>
      <c r="B17" s="128" t="str">
        <f>'ENTRADA DE DADOS'!A26</f>
        <v>Outros (especificar)</v>
      </c>
      <c r="C17" s="128"/>
      <c r="D17" s="118"/>
      <c r="E17" s="126">
        <f>'ENTRADA DE DADOS'!D26</f>
        <v>0</v>
      </c>
    </row>
    <row r="18" spans="1:5">
      <c r="A18" s="125"/>
      <c r="B18" s="1081" t="s">
        <v>237</v>
      </c>
      <c r="C18" s="1081"/>
      <c r="D18" s="130">
        <v>1</v>
      </c>
      <c r="E18" s="131">
        <f>ROUND(SUM(E15:E17),2)</f>
        <v>1986.54</v>
      </c>
    </row>
    <row r="19" spans="1:5">
      <c r="A19" s="132"/>
      <c r="B19" s="1084"/>
      <c r="C19" s="1084"/>
      <c r="D19" s="133"/>
      <c r="E19" s="134"/>
    </row>
    <row r="20" spans="1:5">
      <c r="A20" s="122" t="s">
        <v>238</v>
      </c>
      <c r="B20" s="1080" t="s">
        <v>239</v>
      </c>
      <c r="C20" s="1080"/>
      <c r="D20" s="135"/>
      <c r="E20" s="136" t="s">
        <v>240</v>
      </c>
    </row>
    <row r="21" spans="1:5">
      <c r="A21" s="125" t="s">
        <v>18</v>
      </c>
      <c r="B21" s="1072" t="s">
        <v>33</v>
      </c>
      <c r="C21" s="1072"/>
      <c r="D21" s="137"/>
      <c r="E21" s="126">
        <f>IF('ENTRADA DE DADOS'!D33&gt;0,'ENTRADA DE DADOS'!D33,('ENTRADA DE DADOS'!D29*'ENTRADA DE DADOS'!D30*'ENTRADA DE DADOS'!D31)-($E$15*'ENTRADA DE DADOS'!D32))</f>
        <v>0</v>
      </c>
    </row>
    <row r="22" spans="1:5">
      <c r="A22" s="125" t="s">
        <v>1</v>
      </c>
      <c r="B22" s="167" t="s">
        <v>169</v>
      </c>
      <c r="C22" s="167"/>
      <c r="D22" s="384">
        <f>'MO - Coletor de resíduos'!D22</f>
        <v>0</v>
      </c>
      <c r="E22" s="126">
        <f>-E21*D22</f>
        <v>0</v>
      </c>
    </row>
    <row r="23" spans="1:5">
      <c r="A23" s="125" t="s">
        <v>19</v>
      </c>
      <c r="B23" s="1072" t="s">
        <v>241</v>
      </c>
      <c r="C23" s="1072"/>
      <c r="D23" s="137"/>
      <c r="E23" s="126">
        <f>SUM('ENTRADA DE DADOS'!D36:D40)</f>
        <v>521.46960000000001</v>
      </c>
    </row>
    <row r="24" spans="1:5">
      <c r="A24" s="125" t="s">
        <v>6</v>
      </c>
      <c r="B24" s="167" t="s">
        <v>169</v>
      </c>
      <c r="C24" s="167"/>
      <c r="D24" s="384">
        <f>D22</f>
        <v>0</v>
      </c>
      <c r="E24" s="126">
        <f>-E23*D24</f>
        <v>0</v>
      </c>
    </row>
    <row r="25" spans="1:5">
      <c r="A25" s="125" t="s">
        <v>21</v>
      </c>
      <c r="B25" s="1072" t="s">
        <v>281</v>
      </c>
      <c r="C25" s="1072"/>
      <c r="D25" s="137"/>
      <c r="E25" s="126">
        <f>'ENTRADA DE DADOS'!D43</f>
        <v>62.5</v>
      </c>
    </row>
    <row r="26" spans="1:5">
      <c r="A26" s="125" t="s">
        <v>22</v>
      </c>
      <c r="B26" s="1072" t="s">
        <v>278</v>
      </c>
      <c r="C26" s="1072"/>
      <c r="D26" s="137"/>
      <c r="E26" s="126">
        <f>'ENTRADA DE DADOS'!D44</f>
        <v>18.5</v>
      </c>
    </row>
    <row r="27" spans="1:5">
      <c r="A27" s="125" t="s">
        <v>23</v>
      </c>
      <c r="B27" s="119" t="s">
        <v>200</v>
      </c>
      <c r="C27" s="119"/>
      <c r="D27" s="137"/>
      <c r="E27" s="126">
        <f>'ENTRADA DE DADOS'!D45</f>
        <v>0</v>
      </c>
    </row>
    <row r="28" spans="1:5">
      <c r="A28" s="125" t="s">
        <v>24</v>
      </c>
      <c r="B28" s="1072" t="str">
        <f>'ENTRADA DE DADOS'!A46</f>
        <v>Outros benefícios (especificar)</v>
      </c>
      <c r="C28" s="1072"/>
      <c r="D28" s="137"/>
      <c r="E28" s="126">
        <f>'ENTRADA DE DADOS'!D46</f>
        <v>0</v>
      </c>
    </row>
    <row r="29" spans="1:5">
      <c r="A29" s="138"/>
      <c r="B29" s="1081" t="s">
        <v>242</v>
      </c>
      <c r="C29" s="1081"/>
      <c r="D29" s="379">
        <f>IF(E29&gt;0,E29/E18,0)</f>
        <v>0.30327604780170547</v>
      </c>
      <c r="E29" s="131">
        <f>ROUND(SUM(E21:E28),2)</f>
        <v>602.47</v>
      </c>
    </row>
    <row r="30" spans="1:5">
      <c r="A30" s="139"/>
      <c r="B30" s="140"/>
      <c r="C30" s="140"/>
      <c r="D30" s="141"/>
      <c r="E30" s="142"/>
    </row>
    <row r="31" spans="1:5">
      <c r="A31" s="122" t="s">
        <v>243</v>
      </c>
      <c r="B31" s="144" t="s">
        <v>244</v>
      </c>
      <c r="C31" s="145"/>
      <c r="D31" s="146"/>
      <c r="E31" s="136"/>
    </row>
    <row r="32" spans="1:5">
      <c r="A32" s="147"/>
      <c r="B32" s="148" t="s">
        <v>245</v>
      </c>
      <c r="C32" s="143"/>
      <c r="D32" s="130" t="s">
        <v>37</v>
      </c>
      <c r="E32" s="149" t="s">
        <v>246</v>
      </c>
    </row>
    <row r="33" spans="1:5">
      <c r="A33" s="125" t="s">
        <v>18</v>
      </c>
      <c r="B33" s="1072" t="s">
        <v>247</v>
      </c>
      <c r="C33" s="1072"/>
      <c r="D33" s="129">
        <f>'ENTRADA DE DADOS'!B49</f>
        <v>0.2</v>
      </c>
      <c r="E33" s="150">
        <f t="shared" ref="E33:E40" si="0">E$18*D33</f>
        <v>397.30799999999999</v>
      </c>
    </row>
    <row r="34" spans="1:5">
      <c r="A34" s="125" t="s">
        <v>19</v>
      </c>
      <c r="B34" s="1072" t="s">
        <v>248</v>
      </c>
      <c r="C34" s="1072"/>
      <c r="D34" s="129">
        <f>'ENTRADA DE DADOS'!B50</f>
        <v>1.4999999999999999E-2</v>
      </c>
      <c r="E34" s="150">
        <f t="shared" si="0"/>
        <v>29.798099999999998</v>
      </c>
    </row>
    <row r="35" spans="1:5">
      <c r="A35" s="125" t="s">
        <v>21</v>
      </c>
      <c r="B35" s="1072" t="s">
        <v>249</v>
      </c>
      <c r="C35" s="1072"/>
      <c r="D35" s="129">
        <f>'ENTRADA DE DADOS'!B51</f>
        <v>0.01</v>
      </c>
      <c r="E35" s="150">
        <f t="shared" si="0"/>
        <v>19.865400000000001</v>
      </c>
    </row>
    <row r="36" spans="1:5">
      <c r="A36" s="125" t="s">
        <v>22</v>
      </c>
      <c r="B36" s="1072" t="s">
        <v>3</v>
      </c>
      <c r="C36" s="1072"/>
      <c r="D36" s="129">
        <f>'ENTRADA DE DADOS'!B52</f>
        <v>2E-3</v>
      </c>
      <c r="E36" s="150">
        <f t="shared" si="0"/>
        <v>3.9730799999999999</v>
      </c>
    </row>
    <row r="37" spans="1:5">
      <c r="A37" s="125" t="s">
        <v>23</v>
      </c>
      <c r="B37" s="1072" t="s">
        <v>250</v>
      </c>
      <c r="C37" s="1072"/>
      <c r="D37" s="129">
        <f>'ENTRADA DE DADOS'!B53</f>
        <v>2.5000000000000001E-2</v>
      </c>
      <c r="E37" s="150">
        <f t="shared" si="0"/>
        <v>49.663499999999999</v>
      </c>
    </row>
    <row r="38" spans="1:5">
      <c r="A38" s="125" t="s">
        <v>24</v>
      </c>
      <c r="B38" s="1072" t="s">
        <v>2</v>
      </c>
      <c r="C38" s="1072"/>
      <c r="D38" s="129">
        <f>'ENTRADA DE DADOS'!B54</f>
        <v>6.0000000000000001E-3</v>
      </c>
      <c r="E38" s="150">
        <f t="shared" si="0"/>
        <v>11.91924</v>
      </c>
    </row>
    <row r="39" spans="1:5">
      <c r="A39" s="125" t="s">
        <v>341</v>
      </c>
      <c r="B39" s="1072" t="s">
        <v>251</v>
      </c>
      <c r="C39" s="1072"/>
      <c r="D39" s="129">
        <f>'ENTRADA DE DADOS'!B55</f>
        <v>0.06</v>
      </c>
      <c r="E39" s="150">
        <f t="shared" si="0"/>
        <v>119.19239999999999</v>
      </c>
    </row>
    <row r="40" spans="1:5">
      <c r="A40" s="125" t="s">
        <v>342</v>
      </c>
      <c r="B40" s="1072" t="s">
        <v>5</v>
      </c>
      <c r="C40" s="1072"/>
      <c r="D40" s="129">
        <f>'ENTRADA DE DADOS'!B56</f>
        <v>0.08</v>
      </c>
      <c r="E40" s="150">
        <f t="shared" si="0"/>
        <v>158.92320000000001</v>
      </c>
    </row>
    <row r="41" spans="1:5">
      <c r="A41" s="147"/>
      <c r="B41" s="151" t="s">
        <v>252</v>
      </c>
      <c r="C41" s="152"/>
      <c r="D41" s="130">
        <f>ROUND(SUM(D33:D40),4)</f>
        <v>0.39800000000000002</v>
      </c>
      <c r="E41" s="153">
        <f>ROUND(SUM(E33:E40),2)</f>
        <v>790.64</v>
      </c>
    </row>
    <row r="42" spans="1:5">
      <c r="A42" s="154"/>
      <c r="B42" s="1086"/>
      <c r="C42" s="1086"/>
      <c r="D42" s="155"/>
      <c r="E42" s="156"/>
    </row>
    <row r="43" spans="1:5">
      <c r="A43" s="147"/>
      <c r="B43" s="148" t="s">
        <v>253</v>
      </c>
      <c r="C43" s="143"/>
      <c r="D43" s="130" t="s">
        <v>37</v>
      </c>
      <c r="E43" s="149" t="s">
        <v>246</v>
      </c>
    </row>
    <row r="44" spans="1:5">
      <c r="A44" s="125" t="s">
        <v>18</v>
      </c>
      <c r="B44" s="1072" t="s">
        <v>254</v>
      </c>
      <c r="C44" s="1072"/>
      <c r="D44" s="129">
        <f>ROUND(1/12,4)</f>
        <v>8.3299999999999999E-2</v>
      </c>
      <c r="E44" s="157">
        <f>E$18*D44</f>
        <v>165.478782</v>
      </c>
    </row>
    <row r="45" spans="1:5">
      <c r="A45" s="125" t="s">
        <v>19</v>
      </c>
      <c r="B45" s="378" t="s">
        <v>304</v>
      </c>
      <c r="C45" s="378"/>
      <c r="D45" s="129">
        <f>(1/3)/12</f>
        <v>2.7777777777777776E-2</v>
      </c>
      <c r="E45" s="157">
        <f t="shared" ref="E45:E47" si="1">E$18*D45</f>
        <v>55.181666666666665</v>
      </c>
    </row>
    <row r="46" spans="1:5" ht="21.75" customHeight="1">
      <c r="A46" s="125" t="s">
        <v>21</v>
      </c>
      <c r="B46" s="1083" t="s">
        <v>301</v>
      </c>
      <c r="C46" s="1083"/>
      <c r="D46" s="129">
        <f>ROUND((D44+D45)*(D41-D40),4)</f>
        <v>3.5299999999999998E-2</v>
      </c>
      <c r="E46" s="157">
        <f t="shared" si="1"/>
        <v>70.124861999999993</v>
      </c>
    </row>
    <row r="47" spans="1:5" ht="15" customHeight="1">
      <c r="A47" s="125" t="s">
        <v>22</v>
      </c>
      <c r="B47" s="1083" t="s">
        <v>302</v>
      </c>
      <c r="C47" s="1083"/>
      <c r="D47" s="129">
        <f>ROUND((D44+D45)*D40,4)</f>
        <v>8.8999999999999999E-3</v>
      </c>
      <c r="E47" s="157">
        <f t="shared" si="1"/>
        <v>17.680205999999998</v>
      </c>
    </row>
    <row r="48" spans="1:5">
      <c r="A48" s="158"/>
      <c r="B48" s="151" t="s">
        <v>255</v>
      </c>
      <c r="C48" s="159"/>
      <c r="D48" s="130">
        <f>ROUND(SUM(D44:D47),4)</f>
        <v>0.15529999999999999</v>
      </c>
      <c r="E48" s="160">
        <f>ROUND(SUM(E44:E47),2)</f>
        <v>308.47000000000003</v>
      </c>
    </row>
    <row r="49" spans="1:5">
      <c r="A49" s="158"/>
      <c r="B49" s="148" t="s">
        <v>350</v>
      </c>
      <c r="C49" s="159"/>
      <c r="D49" s="130"/>
      <c r="E49" s="160">
        <f>E48+E41</f>
        <v>1099.1100000000001</v>
      </c>
    </row>
    <row r="50" spans="1:5">
      <c r="A50" s="158"/>
      <c r="B50" s="151"/>
      <c r="C50" s="159"/>
      <c r="D50" s="130"/>
      <c r="E50" s="160"/>
    </row>
    <row r="51" spans="1:5">
      <c r="A51" s="878" t="s">
        <v>243</v>
      </c>
      <c r="B51" s="879" t="s">
        <v>347</v>
      </c>
      <c r="C51" s="880"/>
      <c r="D51" s="881"/>
      <c r="E51" s="882"/>
    </row>
    <row r="52" spans="1:5">
      <c r="A52" s="127" t="s">
        <v>18</v>
      </c>
      <c r="B52" s="1085" t="s">
        <v>7</v>
      </c>
      <c r="C52" s="1085"/>
      <c r="D52" s="161">
        <f>ROUND(1/12*'ENTRADA DE DADOS'!D75,5)</f>
        <v>2.5999999999999999E-3</v>
      </c>
      <c r="E52" s="157">
        <f>D52*(E45+E44++E29+E18)</f>
        <v>7.3051431665333331</v>
      </c>
    </row>
    <row r="53" spans="1:5">
      <c r="A53" s="127" t="s">
        <v>1</v>
      </c>
      <c r="B53" s="1085" t="s">
        <v>131</v>
      </c>
      <c r="C53" s="1085"/>
      <c r="D53" s="161">
        <f>ROUND((D52*$D$40),5)</f>
        <v>2.1000000000000001E-4</v>
      </c>
      <c r="E53" s="157">
        <f>D53*(E45+E44+E18)</f>
        <v>0.46351209422</v>
      </c>
    </row>
    <row r="54" spans="1:5" ht="25.5" customHeight="1">
      <c r="A54" s="127" t="s">
        <v>343</v>
      </c>
      <c r="B54" s="1082" t="s">
        <v>132</v>
      </c>
      <c r="C54" s="1082"/>
      <c r="D54" s="161">
        <f>D53*0.4</f>
        <v>8.4000000000000009E-5</v>
      </c>
      <c r="E54" s="157">
        <f>D54*(E45+E44+E18)</f>
        <v>0.18540483768800001</v>
      </c>
    </row>
    <row r="55" spans="1:5">
      <c r="A55" s="127" t="s">
        <v>19</v>
      </c>
      <c r="B55" s="128" t="s">
        <v>133</v>
      </c>
      <c r="C55" s="128"/>
      <c r="D55" s="161">
        <f>ROUND(1/30/12*7*'ENTRADA DE DADOS'!D76,5)</f>
        <v>1.0330000000000001E-2</v>
      </c>
      <c r="E55" s="157">
        <f>D55*(E44+E45+E29+E18)</f>
        <v>29.023895734726668</v>
      </c>
    </row>
    <row r="56" spans="1:5">
      <c r="A56" s="127" t="s">
        <v>6</v>
      </c>
      <c r="B56" s="1082" t="s">
        <v>134</v>
      </c>
      <c r="C56" s="1082"/>
      <c r="D56" s="161">
        <f>ROUND(D55*$D$41,5)</f>
        <v>4.1099999999999999E-3</v>
      </c>
      <c r="E56" s="157">
        <f>D56*(E45+E44+E18)</f>
        <v>9.0715938440199988</v>
      </c>
    </row>
    <row r="57" spans="1:5">
      <c r="A57" s="127" t="s">
        <v>344</v>
      </c>
      <c r="B57" s="1082" t="s">
        <v>135</v>
      </c>
      <c r="C57" s="1082"/>
      <c r="D57" s="161">
        <f>$D$55*$D$40*0.4</f>
        <v>3.3056000000000003E-4</v>
      </c>
      <c r="E57" s="157">
        <f>D57*(E44+E45+E18)</f>
        <v>0.7296121803112533</v>
      </c>
    </row>
    <row r="58" spans="1:5">
      <c r="A58" s="138"/>
      <c r="B58" s="148" t="s">
        <v>351</v>
      </c>
      <c r="C58" s="143"/>
      <c r="D58" s="933">
        <f>ROUND(SUM(D52:D57),5)</f>
        <v>1.7659999999999999E-2</v>
      </c>
      <c r="E58" s="160">
        <f>ROUND(SUM(E52:E57),2)</f>
        <v>46.78</v>
      </c>
    </row>
    <row r="59" spans="1:5">
      <c r="A59" s="125"/>
      <c r="B59" s="119"/>
      <c r="C59" s="119"/>
      <c r="D59" s="129"/>
      <c r="E59" s="162"/>
    </row>
    <row r="60" spans="1:5">
      <c r="A60" s="883" t="s">
        <v>348</v>
      </c>
      <c r="B60" s="884" t="s">
        <v>349</v>
      </c>
      <c r="C60" s="885"/>
      <c r="D60" s="881"/>
      <c r="E60" s="886"/>
    </row>
    <row r="61" spans="1:5">
      <c r="A61" s="125" t="s">
        <v>18</v>
      </c>
      <c r="B61" s="1072" t="s">
        <v>256</v>
      </c>
      <c r="C61" s="1072"/>
      <c r="D61" s="129">
        <f>ROUND(1/30*'ENTRADA DE DADOS'!E74/12,4)</f>
        <v>5.7299999999999997E-2</v>
      </c>
      <c r="E61" s="157">
        <f>D61*(E58+E48+E41+E29+E18)</f>
        <v>214.00976999999997</v>
      </c>
    </row>
    <row r="62" spans="1:5">
      <c r="A62" s="127" t="s">
        <v>19</v>
      </c>
      <c r="B62" s="1085" t="s">
        <v>257</v>
      </c>
      <c r="C62" s="1085"/>
      <c r="D62" s="129">
        <f>ROUND(1/30*'ENTRADA DE DADOS'!E73/12,4)</f>
        <v>2.3300000000000001E-2</v>
      </c>
      <c r="E62" s="157">
        <f>D62*(E58+E48+E41+E29+E18)</f>
        <v>87.023169999999993</v>
      </c>
    </row>
    <row r="63" spans="1:5">
      <c r="A63" s="164"/>
      <c r="B63" s="148" t="s">
        <v>352</v>
      </c>
      <c r="C63" s="152"/>
      <c r="D63" s="130">
        <f>ROUND(SUM(D61:D62),4)</f>
        <v>8.0600000000000005E-2</v>
      </c>
      <c r="E63" s="163">
        <f>ROUND(SUM(E61:E62),2)</f>
        <v>301.02999999999997</v>
      </c>
    </row>
    <row r="64" spans="1:5">
      <c r="A64" s="125"/>
      <c r="B64" s="119"/>
      <c r="C64" s="119"/>
      <c r="D64" s="129"/>
      <c r="E64" s="162"/>
    </row>
    <row r="65" spans="1:5">
      <c r="A65" s="887"/>
      <c r="B65" s="884" t="s">
        <v>353</v>
      </c>
      <c r="C65" s="885"/>
      <c r="D65" s="881"/>
      <c r="E65" s="888"/>
    </row>
    <row r="66" spans="1:5">
      <c r="A66" s="889"/>
      <c r="B66" s="1081" t="s">
        <v>237</v>
      </c>
      <c r="C66" s="1081"/>
      <c r="D66" s="129"/>
      <c r="E66" s="909">
        <f>E18</f>
        <v>1986.54</v>
      </c>
    </row>
    <row r="67" spans="1:5">
      <c r="A67" s="889"/>
      <c r="B67" s="1081" t="s">
        <v>242</v>
      </c>
      <c r="C67" s="1081"/>
      <c r="D67" s="129"/>
      <c r="E67" s="909">
        <f>E29</f>
        <v>602.47</v>
      </c>
    </row>
    <row r="68" spans="1:5">
      <c r="A68" s="890"/>
      <c r="B68" s="1081" t="s">
        <v>354</v>
      </c>
      <c r="C68" s="1081"/>
      <c r="D68" s="130"/>
      <c r="E68" s="891">
        <f>E49</f>
        <v>1099.1100000000001</v>
      </c>
    </row>
    <row r="69" spans="1:5">
      <c r="A69" s="890"/>
      <c r="B69" s="892" t="s">
        <v>351</v>
      </c>
      <c r="C69" s="830"/>
      <c r="D69" s="130"/>
      <c r="E69" s="891">
        <f>E58</f>
        <v>46.78</v>
      </c>
    </row>
    <row r="70" spans="1:5">
      <c r="A70" s="893"/>
      <c r="B70" s="892" t="s">
        <v>352</v>
      </c>
      <c r="C70" s="831"/>
      <c r="D70" s="894"/>
      <c r="E70" s="891">
        <f>E63</f>
        <v>301.02999999999997</v>
      </c>
    </row>
    <row r="71" spans="1:5">
      <c r="A71" s="908"/>
      <c r="B71" s="895"/>
      <c r="C71" s="831"/>
      <c r="D71" s="906"/>
      <c r="E71" s="907"/>
    </row>
    <row r="72" spans="1:5">
      <c r="A72" s="896"/>
      <c r="B72" s="897" t="s">
        <v>258</v>
      </c>
      <c r="C72" s="898"/>
      <c r="D72" s="899"/>
      <c r="E72" s="900">
        <f>SUM(E66:E70)</f>
        <v>4035.9300000000003</v>
      </c>
    </row>
    <row r="73" spans="1:5">
      <c r="A73" s="901"/>
      <c r="B73" s="902"/>
      <c r="C73" s="903"/>
      <c r="D73" s="904"/>
      <c r="E73" s="905"/>
    </row>
    <row r="94" spans="1:5">
      <c r="A94" s="165"/>
      <c r="B94" s="143"/>
      <c r="C94" s="143"/>
      <c r="D94" s="166"/>
      <c r="E94" s="143"/>
    </row>
  </sheetData>
  <sheetProtection password="89AB" sheet="1" objects="1" scenarios="1"/>
  <protectedRanges>
    <protectedRange sqref="D22 D24" name="Intervalo1"/>
  </protectedRanges>
  <mergeCells count="50">
    <mergeCell ref="B66:C66"/>
    <mergeCell ref="B67:C67"/>
    <mergeCell ref="B68:C68"/>
    <mergeCell ref="B57:C57"/>
    <mergeCell ref="B61:C61"/>
    <mergeCell ref="B62:C62"/>
    <mergeCell ref="B56:C56"/>
    <mergeCell ref="B37:C37"/>
    <mergeCell ref="B38:C38"/>
    <mergeCell ref="B39:C39"/>
    <mergeCell ref="B40:C40"/>
    <mergeCell ref="B42:C42"/>
    <mergeCell ref="B44:C44"/>
    <mergeCell ref="B47:C47"/>
    <mergeCell ref="B52:C52"/>
    <mergeCell ref="B53:C53"/>
    <mergeCell ref="B54:C54"/>
    <mergeCell ref="B46:C46"/>
    <mergeCell ref="B36:C36"/>
    <mergeCell ref="B19:C19"/>
    <mergeCell ref="B20:C20"/>
    <mergeCell ref="B21:C21"/>
    <mergeCell ref="B23:C23"/>
    <mergeCell ref="B25:C25"/>
    <mergeCell ref="B26:C26"/>
    <mergeCell ref="B28:C28"/>
    <mergeCell ref="B29:C29"/>
    <mergeCell ref="B33:C33"/>
    <mergeCell ref="B34:C34"/>
    <mergeCell ref="B35:C35"/>
    <mergeCell ref="B18:C18"/>
    <mergeCell ref="B8:C8"/>
    <mergeCell ref="D8:E8"/>
    <mergeCell ref="B9:C9"/>
    <mergeCell ref="D9:E9"/>
    <mergeCell ref="B11:C11"/>
    <mergeCell ref="D11:E11"/>
    <mergeCell ref="B12:C12"/>
    <mergeCell ref="B13:C13"/>
    <mergeCell ref="B14:C14"/>
    <mergeCell ref="B15:C15"/>
    <mergeCell ref="D10:E10"/>
    <mergeCell ref="B7:C7"/>
    <mergeCell ref="A1:E1"/>
    <mergeCell ref="B3:C3"/>
    <mergeCell ref="B4:C4"/>
    <mergeCell ref="D4:E4"/>
    <mergeCell ref="B5:C5"/>
    <mergeCell ref="D5:E5"/>
    <mergeCell ref="B6:C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8" tint="0.79998168889431442"/>
    <pageSetUpPr fitToPage="1"/>
  </sheetPr>
  <dimension ref="B1:K64"/>
  <sheetViews>
    <sheetView showGridLines="0" workbookViewId="0">
      <pane ySplit="1" topLeftCell="A35" activePane="bottomLeft" state="frozen"/>
      <selection pane="bottomLeft" activeCell="B63" sqref="B1:K63"/>
    </sheetView>
  </sheetViews>
  <sheetFormatPr defaultRowHeight="12.75"/>
  <cols>
    <col min="1" max="1" width="1.7109375" style="28" customWidth="1"/>
    <col min="2" max="2" width="33.42578125" style="28" bestFit="1" customWidth="1"/>
    <col min="3" max="3" width="14.5703125" style="28" bestFit="1" customWidth="1"/>
    <col min="4" max="4" width="9.85546875" style="28" bestFit="1" customWidth="1"/>
    <col min="5" max="5" width="14.85546875" style="28" bestFit="1" customWidth="1"/>
    <col min="6" max="6" width="2.140625" style="28" customWidth="1"/>
    <col min="7" max="7" width="53.85546875" style="28" bestFit="1" customWidth="1"/>
    <col min="8" max="8" width="9.140625" style="28" bestFit="1" customWidth="1"/>
    <col min="9" max="9" width="13.42578125" style="28" bestFit="1" customWidth="1"/>
    <col min="10" max="10" width="9.85546875" style="28" bestFit="1" customWidth="1"/>
    <col min="11" max="11" width="14.85546875" style="28" bestFit="1" customWidth="1"/>
    <col min="12" max="16384" width="9.140625" style="28"/>
  </cols>
  <sheetData>
    <row r="1" spans="2:11" ht="27" customHeight="1" thickBot="1">
      <c r="B1" s="1102" t="s">
        <v>269</v>
      </c>
      <c r="C1" s="1103"/>
      <c r="D1" s="1103"/>
      <c r="E1" s="1104"/>
      <c r="F1" s="258"/>
      <c r="G1" s="1102" t="s">
        <v>269</v>
      </c>
      <c r="H1" s="1103"/>
      <c r="I1" s="1103"/>
      <c r="J1" s="1103"/>
      <c r="K1" s="1104"/>
    </row>
    <row r="2" spans="2:11" ht="25.5">
      <c r="B2" s="493" t="str">
        <f>'ENTRADA DE DADOS'!B10</f>
        <v>Operador de roçadeira</v>
      </c>
      <c r="C2" s="260" t="s">
        <v>270</v>
      </c>
      <c r="D2" s="259" t="s">
        <v>50</v>
      </c>
      <c r="E2" s="263" t="s">
        <v>271</v>
      </c>
      <c r="F2" s="258"/>
      <c r="G2" s="493" t="str">
        <f>B2</f>
        <v>Operador de roçadeira</v>
      </c>
      <c r="H2" s="268" t="s">
        <v>49</v>
      </c>
      <c r="I2" s="260" t="s">
        <v>270</v>
      </c>
      <c r="J2" s="259" t="s">
        <v>50</v>
      </c>
      <c r="K2" s="263" t="s">
        <v>271</v>
      </c>
    </row>
    <row r="3" spans="2:11">
      <c r="B3" s="494" t="str">
        <f>'ENTRADA DE DADOS'!$A$130</f>
        <v>Camiseta branca de manga longa</v>
      </c>
      <c r="C3" s="495">
        <f>'ENTRADA DE DADOS'!D130</f>
        <v>6</v>
      </c>
      <c r="D3" s="693">
        <f>IF(C3&gt;0,'ENTRADA DE DADOS'!C130,0)</f>
        <v>46.9</v>
      </c>
      <c r="E3" s="492">
        <f>ROUND(IF(B3&gt;0,D3*C3,0),2)</f>
        <v>281.39999999999998</v>
      </c>
      <c r="F3" s="258"/>
      <c r="G3" s="496" t="str">
        <f>'ENTRADA DE DADOS'!A141</f>
        <v>Abafador auricular tipo concha, mínimo 20 db</v>
      </c>
      <c r="H3" s="497" t="str">
        <f>'ENTRADA DE DADOS'!B141</f>
        <v>Unidade</v>
      </c>
      <c r="I3" s="495">
        <f>'ENTRADA DE DADOS'!D141</f>
        <v>1</v>
      </c>
      <c r="J3" s="491">
        <f>IF(I3&gt;0,'ENTRADA DE DADOS'!C141,0)</f>
        <v>38.9</v>
      </c>
      <c r="K3" s="492">
        <f>ROUND(IF(H3&gt;0,J3*I3,0),2)</f>
        <v>38.9</v>
      </c>
    </row>
    <row r="4" spans="2:11">
      <c r="B4" s="494" t="str">
        <f>'ENTRADA DE DADOS'!$A$131</f>
        <v>Calça em tecido tipo brim</v>
      </c>
      <c r="C4" s="495">
        <f>'ENTRADA DE DADOS'!D131</f>
        <v>6</v>
      </c>
      <c r="D4" s="693">
        <f>IF(C4&gt;0,'ENTRADA DE DADOS'!C131,0)</f>
        <v>62.9</v>
      </c>
      <c r="E4" s="492">
        <f t="shared" ref="E4:E17" si="0">ROUND(IF(B4&gt;0,D4*C4,0),2)</f>
        <v>377.4</v>
      </c>
      <c r="F4" s="258"/>
      <c r="G4" s="498" t="str">
        <f>'ENTRADA DE DADOS'!A142</f>
        <v>Avental de raspa de couro</v>
      </c>
      <c r="H4" s="499" t="str">
        <f>'ENTRADA DE DADOS'!B142</f>
        <v>Unidade</v>
      </c>
      <c r="I4" s="500">
        <f>'ENTRADA DE DADOS'!D142</f>
        <v>1</v>
      </c>
      <c r="J4" s="501">
        <f>IF(I4&gt;0,'ENTRADA DE DADOS'!C142,0)</f>
        <v>31.6</v>
      </c>
      <c r="K4" s="502">
        <f t="shared" ref="K4:K17" si="1">ROUND(IF(H4&gt;0,J4*I4,0),2)</f>
        <v>31.6</v>
      </c>
    </row>
    <row r="5" spans="2:11">
      <c r="B5" s="503" t="str">
        <f>'ENTRADA DE DADOS'!$A$132</f>
        <v>Meias pretas (pares)</v>
      </c>
      <c r="C5" s="500">
        <f>'ENTRADA DE DADOS'!D132</f>
        <v>6</v>
      </c>
      <c r="D5" s="693">
        <f>IF(C5&gt;0,'ENTRADA DE DADOS'!C132,0)</f>
        <v>4.6077777777777778</v>
      </c>
      <c r="E5" s="502">
        <f t="shared" si="0"/>
        <v>27.65</v>
      </c>
      <c r="F5" s="258"/>
      <c r="G5" s="504" t="str">
        <f>'ENTRADA DE DADOS'!A143</f>
        <v>Boné árabe, brim</v>
      </c>
      <c r="H5" s="505" t="str">
        <f>'ENTRADA DE DADOS'!B143</f>
        <v>Unidade</v>
      </c>
      <c r="I5" s="506">
        <f>'ENTRADA DE DADOS'!D143</f>
        <v>2</v>
      </c>
      <c r="J5" s="507">
        <f>IF(I5&gt;0,'ENTRADA DE DADOS'!C143,0)</f>
        <v>17.3</v>
      </c>
      <c r="K5" s="508">
        <f t="shared" si="1"/>
        <v>34.6</v>
      </c>
    </row>
    <row r="6" spans="2:11">
      <c r="B6" s="509" t="str">
        <f>'ENTRADA DE DADOS'!$A$133</f>
        <v>Sapato de segurança monodensidade</v>
      </c>
      <c r="C6" s="506">
        <f>'ENTRADA DE DADOS'!D133</f>
        <v>0</v>
      </c>
      <c r="D6" s="693">
        <f>IF(C6&gt;0,'ENTRADA DE DADOS'!C133,0)</f>
        <v>0</v>
      </c>
      <c r="E6" s="508">
        <f t="shared" si="0"/>
        <v>0</v>
      </c>
      <c r="F6" s="258"/>
      <c r="G6" s="510" t="str">
        <f>'ENTRADA DE DADOS'!A144</f>
        <v>Botina de segurança, com elástico, sem biqueira, bidensidade</v>
      </c>
      <c r="H6" s="511" t="str">
        <f>'ENTRADA DE DADOS'!B144</f>
        <v>Par</v>
      </c>
      <c r="I6" s="512">
        <f>'ENTRADA DE DADOS'!D144</f>
        <v>2</v>
      </c>
      <c r="J6" s="513">
        <f>IF(I6&gt;0,'ENTRADA DE DADOS'!C144,0)</f>
        <v>37.799999999999997</v>
      </c>
      <c r="K6" s="514">
        <f t="shared" si="1"/>
        <v>75.599999999999994</v>
      </c>
    </row>
    <row r="7" spans="2:11">
      <c r="B7" s="515" t="str">
        <f>'ENTRADA DE DADOS'!$A$134</f>
        <v>Crachá</v>
      </c>
      <c r="C7" s="512">
        <f>'ENTRADA DE DADOS'!D134</f>
        <v>1</v>
      </c>
      <c r="D7" s="693">
        <f>IF(C7&gt;0,'ENTRADA DE DADOS'!C134,0)</f>
        <v>18.399999999999999</v>
      </c>
      <c r="E7" s="514">
        <f t="shared" si="0"/>
        <v>18.399999999999999</v>
      </c>
      <c r="F7" s="258"/>
      <c r="G7" s="516" t="str">
        <f>'ENTRADA DE DADOS'!A145</f>
        <v xml:space="preserve">Capa de chuva </v>
      </c>
      <c r="H7" s="517" t="str">
        <f>'ENTRADA DE DADOS'!B145</f>
        <v>Unidade</v>
      </c>
      <c r="I7" s="518">
        <f>'ENTRADA DE DADOS'!D145</f>
        <v>1</v>
      </c>
      <c r="J7" s="519">
        <f>IF(I7&gt;0,'ENTRADA DE DADOS'!C145,0)</f>
        <v>11.186666666666667</v>
      </c>
      <c r="K7" s="520">
        <f t="shared" si="1"/>
        <v>11.19</v>
      </c>
    </row>
    <row r="8" spans="2:11">
      <c r="B8" s="521" t="str">
        <f>'ENTRADA DE DADOS'!$A$135</f>
        <v>Jaqueta</v>
      </c>
      <c r="C8" s="518">
        <f>'ENTRADA DE DADOS'!D135</f>
        <v>1</v>
      </c>
      <c r="D8" s="693">
        <f>IF(C8&gt;0,'ENTRADA DE DADOS'!C135,0)</f>
        <v>230</v>
      </c>
      <c r="E8" s="520">
        <f t="shared" si="0"/>
        <v>230</v>
      </c>
      <c r="F8" s="258"/>
      <c r="G8" s="522" t="str">
        <f>'ENTRADA DE DADOS'!A146</f>
        <v>Colete refletivo em X</v>
      </c>
      <c r="H8" s="523" t="str">
        <f>'ENTRADA DE DADOS'!B146</f>
        <v>Unidade</v>
      </c>
      <c r="I8" s="524">
        <f>'ENTRADA DE DADOS'!D146</f>
        <v>4</v>
      </c>
      <c r="J8" s="525">
        <f>IF(I8&gt;0,'ENTRADA DE DADOS'!C146,0)</f>
        <v>17.8</v>
      </c>
      <c r="K8" s="526">
        <f t="shared" si="1"/>
        <v>71.2</v>
      </c>
    </row>
    <row r="9" spans="2:11">
      <c r="B9" s="527" t="str">
        <f>'ENTRADA DE DADOS'!$A$136</f>
        <v>Camiseta branca de manga curta</v>
      </c>
      <c r="C9" s="524">
        <f>'ENTRADA DE DADOS'!D136</f>
        <v>6</v>
      </c>
      <c r="D9" s="693">
        <f>IF(C9&gt;0,'ENTRADA DE DADOS'!C136,0)</f>
        <v>39.799999999999997</v>
      </c>
      <c r="E9" s="526">
        <f t="shared" si="0"/>
        <v>238.8</v>
      </c>
      <c r="F9" s="258"/>
      <c r="G9" s="528" t="str">
        <f>'ENTRADA DE DADOS'!A147</f>
        <v>Luva de raspa de couro, 07 cm de cano</v>
      </c>
      <c r="H9" s="529" t="str">
        <f>'ENTRADA DE DADOS'!B147</f>
        <v>Par</v>
      </c>
      <c r="I9" s="530">
        <f>'ENTRADA DE DADOS'!D147</f>
        <v>6</v>
      </c>
      <c r="J9" s="531">
        <f>IF(I9&gt;0,'ENTRADA DE DADOS'!C147,0)</f>
        <v>6.82</v>
      </c>
      <c r="K9" s="532">
        <f t="shared" si="1"/>
        <v>40.92</v>
      </c>
    </row>
    <row r="10" spans="2:11">
      <c r="B10" s="533">
        <f>'ENTRADA DE DADOS'!A137</f>
        <v>0</v>
      </c>
      <c r="C10" s="530">
        <f>'ENTRADA DE DADOS'!D137</f>
        <v>0</v>
      </c>
      <c r="D10" s="693">
        <f>IF(C10&gt;0,'ENTRADA DE DADOS'!C137,0)</f>
        <v>0</v>
      </c>
      <c r="E10" s="532">
        <f t="shared" si="0"/>
        <v>0</v>
      </c>
      <c r="F10" s="258"/>
      <c r="G10" s="534" t="str">
        <f>'ENTRADA DE DADOS'!A148</f>
        <v>Óculos de proteção, policarbonato, incolor</v>
      </c>
      <c r="H10" s="535" t="str">
        <f>'ENTRADA DE DADOS'!B148</f>
        <v>Unidade</v>
      </c>
      <c r="I10" s="536">
        <f>'ENTRADA DE DADOS'!D148</f>
        <v>2</v>
      </c>
      <c r="J10" s="537">
        <f>IF(I10&gt;0,'ENTRADA DE DADOS'!C148,0)</f>
        <v>4.9000000000000004</v>
      </c>
      <c r="K10" s="538">
        <f t="shared" si="1"/>
        <v>9.8000000000000007</v>
      </c>
    </row>
    <row r="11" spans="2:11">
      <c r="B11" s="539"/>
      <c r="C11" s="540"/>
      <c r="D11" s="693"/>
      <c r="E11" s="538">
        <f t="shared" si="0"/>
        <v>0</v>
      </c>
      <c r="F11" s="258"/>
      <c r="G11" s="541" t="str">
        <f>'ENTRADA DE DADOS'!A149</f>
        <v>Perneira de raspa</v>
      </c>
      <c r="H11" s="542" t="str">
        <f>'ENTRADA DE DADOS'!B149</f>
        <v>Par</v>
      </c>
      <c r="I11" s="543">
        <f>'ENTRADA DE DADOS'!D149</f>
        <v>1</v>
      </c>
      <c r="J11" s="544">
        <f>IF(I11&gt;0,'ENTRADA DE DADOS'!C149,0)</f>
        <v>26.9</v>
      </c>
      <c r="K11" s="545">
        <f t="shared" si="1"/>
        <v>26.9</v>
      </c>
    </row>
    <row r="12" spans="2:11">
      <c r="B12" s="546"/>
      <c r="C12" s="547"/>
      <c r="D12" s="693"/>
      <c r="E12" s="545">
        <f t="shared" si="0"/>
        <v>0</v>
      </c>
      <c r="F12" s="258"/>
      <c r="G12" s="548" t="str">
        <f>'ENTRADA DE DADOS'!A150</f>
        <v>Protetor auricular tipo plug</v>
      </c>
      <c r="H12" s="549" t="str">
        <f>'ENTRADA DE DADOS'!B150</f>
        <v>Unidade</v>
      </c>
      <c r="I12" s="550">
        <f>'ENTRADA DE DADOS'!D150</f>
        <v>0</v>
      </c>
      <c r="J12" s="551">
        <f>IF(I12&gt;0,'ENTRADA DE DADOS'!C150,0)</f>
        <v>0</v>
      </c>
      <c r="K12" s="552">
        <f t="shared" si="1"/>
        <v>0</v>
      </c>
    </row>
    <row r="13" spans="2:11">
      <c r="B13" s="553"/>
      <c r="C13" s="554"/>
      <c r="D13" s="693"/>
      <c r="E13" s="552">
        <f t="shared" si="0"/>
        <v>0</v>
      </c>
      <c r="F13" s="258"/>
      <c r="G13" s="555" t="str">
        <f>'ENTRADA DE DADOS'!A151</f>
        <v>Protetor facial incolor</v>
      </c>
      <c r="H13" s="556" t="str">
        <f>'ENTRADA DE DADOS'!B151</f>
        <v>Unidade</v>
      </c>
      <c r="I13" s="557">
        <f>'ENTRADA DE DADOS'!D151</f>
        <v>1</v>
      </c>
      <c r="J13" s="558">
        <f>IF(I13&gt;0,'ENTRADA DE DADOS'!C151,0)</f>
        <v>33.99</v>
      </c>
      <c r="K13" s="559">
        <f t="shared" si="1"/>
        <v>33.99</v>
      </c>
    </row>
    <row r="14" spans="2:11">
      <c r="B14" s="560"/>
      <c r="C14" s="561"/>
      <c r="D14" s="693"/>
      <c r="E14" s="559">
        <f t="shared" si="0"/>
        <v>0</v>
      </c>
      <c r="F14" s="258"/>
      <c r="G14" s="562" t="str">
        <f>'ENTRADA DE DADOS'!A152</f>
        <v>Protetor solar, fator 50</v>
      </c>
      <c r="H14" s="563" t="str">
        <f>'ENTRADA DE DADOS'!B152</f>
        <v>120 Ml</v>
      </c>
      <c r="I14" s="564">
        <f>'ENTRADA DE DADOS'!D152</f>
        <v>12</v>
      </c>
      <c r="J14" s="565">
        <f>IF(I14&gt;0,'ENTRADA DE DADOS'!C152,0)</f>
        <v>26.9</v>
      </c>
      <c r="K14" s="566">
        <f t="shared" si="1"/>
        <v>322.8</v>
      </c>
    </row>
    <row r="15" spans="2:11">
      <c r="B15" s="567"/>
      <c r="C15" s="568"/>
      <c r="D15" s="693"/>
      <c r="E15" s="566">
        <f t="shared" si="0"/>
        <v>0</v>
      </c>
      <c r="F15" s="258"/>
      <c r="G15" s="569" t="str">
        <f>'ENTRADA DE DADOS'!A153</f>
        <v>kit 2 conjunto Pulverização Agrotoxico + 2 mascaras + 8 filtros sayro</v>
      </c>
      <c r="H15" s="570" t="str">
        <f>'ENTRADA DE DADOS'!B153</f>
        <v>Unidade</v>
      </c>
      <c r="I15" s="571">
        <f>'ENTRADA DE DADOS'!D153</f>
        <v>0</v>
      </c>
      <c r="J15" s="572">
        <f>IF(I15&gt;0,'ENTRADA DE DADOS'!C153,0)</f>
        <v>0</v>
      </c>
      <c r="K15" s="573">
        <f t="shared" si="1"/>
        <v>0</v>
      </c>
    </row>
    <row r="16" spans="2:11">
      <c r="B16" s="574"/>
      <c r="C16" s="575"/>
      <c r="D16" s="693"/>
      <c r="E16" s="573">
        <f t="shared" si="0"/>
        <v>0</v>
      </c>
      <c r="F16" s="258"/>
      <c r="G16" s="576" t="str">
        <f>'ENTRADA DE DADOS'!A154</f>
        <v>Repelente spray</v>
      </c>
      <c r="H16" s="577" t="str">
        <f>'ENTRADA DE DADOS'!B154</f>
        <v>Unidade</v>
      </c>
      <c r="I16" s="578">
        <f>'ENTRADA DE DADOS'!D154</f>
        <v>12</v>
      </c>
      <c r="J16" s="579">
        <f>IF(I16&gt;0,'ENTRADA DE DADOS'!C154,0)</f>
        <v>22.9</v>
      </c>
      <c r="K16" s="580">
        <f t="shared" si="1"/>
        <v>274.8</v>
      </c>
    </row>
    <row r="17" spans="2:11">
      <c r="B17" s="581"/>
      <c r="C17" s="582"/>
      <c r="D17" s="693"/>
      <c r="E17" s="580">
        <f t="shared" si="0"/>
        <v>0</v>
      </c>
      <c r="F17" s="258"/>
      <c r="G17" s="583">
        <f>'ENTRADA DE DADOS'!A155</f>
        <v>0</v>
      </c>
      <c r="H17" s="584">
        <f>'ENTRADA DE DADOS'!B155</f>
        <v>0</v>
      </c>
      <c r="I17" s="585">
        <f>'ENTRADA DE DADOS'!D155</f>
        <v>0</v>
      </c>
      <c r="J17" s="586">
        <f>IF(I17&gt;0,'ENTRADA DE DADOS'!C155,0)</f>
        <v>0</v>
      </c>
      <c r="K17" s="587">
        <f t="shared" si="1"/>
        <v>0</v>
      </c>
    </row>
    <row r="18" spans="2:11">
      <c r="B18" s="1096" t="s">
        <v>272</v>
      </c>
      <c r="C18" s="1100"/>
      <c r="D18" s="695"/>
      <c r="E18" s="589">
        <f>ROUND(SUM(E3:E17),32)</f>
        <v>1173.6500000000001</v>
      </c>
      <c r="F18" s="258"/>
      <c r="G18" s="1096" t="s">
        <v>272</v>
      </c>
      <c r="H18" s="1105"/>
      <c r="I18" s="1100"/>
      <c r="J18" s="588"/>
      <c r="K18" s="589">
        <f>ROUND(SUM(K3:K17),32)</f>
        <v>972.3</v>
      </c>
    </row>
    <row r="19" spans="2:11">
      <c r="B19" s="1096" t="s">
        <v>273</v>
      </c>
      <c r="C19" s="1100"/>
      <c r="D19" s="695"/>
      <c r="E19" s="589">
        <f>ROUND(E18/12,2)</f>
        <v>97.8</v>
      </c>
      <c r="F19" s="258"/>
      <c r="G19" s="1096" t="s">
        <v>273</v>
      </c>
      <c r="H19" s="1105"/>
      <c r="I19" s="1100"/>
      <c r="J19" s="588"/>
      <c r="K19" s="589">
        <f>ROUND(K18/12,2)</f>
        <v>81.03</v>
      </c>
    </row>
    <row r="20" spans="2:11">
      <c r="B20" s="1097" t="s">
        <v>156</v>
      </c>
      <c r="C20" s="1101"/>
      <c r="D20" s="701">
        <f>'MO - Motorista'!D22</f>
        <v>0</v>
      </c>
      <c r="E20" s="590">
        <f>-ROUND(E19*D20,2)</f>
        <v>0</v>
      </c>
      <c r="F20" s="258"/>
      <c r="G20" s="1097" t="s">
        <v>156</v>
      </c>
      <c r="H20" s="1106"/>
      <c r="I20" s="1101"/>
      <c r="J20" s="821">
        <f>D20</f>
        <v>0</v>
      </c>
      <c r="K20" s="590">
        <f>-ROUND(K19*J20,2)</f>
        <v>0</v>
      </c>
    </row>
    <row r="21" spans="2:11">
      <c r="B21" s="1098" t="s">
        <v>157</v>
      </c>
      <c r="C21" s="1099"/>
      <c r="D21" s="702"/>
      <c r="E21" s="593">
        <f>SUM(E19:E20)</f>
        <v>97.8</v>
      </c>
      <c r="F21" s="258"/>
      <c r="G21" s="1098" t="s">
        <v>157</v>
      </c>
      <c r="H21" s="1099"/>
      <c r="I21" s="1099"/>
      <c r="J21" s="592"/>
      <c r="K21" s="593">
        <f>SUM(K19:K20)</f>
        <v>81.03</v>
      </c>
    </row>
    <row r="22" spans="2:11">
      <c r="B22" s="264"/>
      <c r="C22" s="594"/>
      <c r="D22" s="595"/>
      <c r="E22" s="265"/>
      <c r="F22" s="261"/>
      <c r="G22" s="264"/>
      <c r="H22" s="596"/>
      <c r="I22" s="594"/>
      <c r="J22" s="595"/>
      <c r="K22" s="265"/>
    </row>
    <row r="23" spans="2:11" ht="25.5">
      <c r="B23" s="597" t="s">
        <v>203</v>
      </c>
      <c r="C23" s="598" t="s">
        <v>270</v>
      </c>
      <c r="D23" s="703" t="s">
        <v>50</v>
      </c>
      <c r="E23" s="600" t="s">
        <v>271</v>
      </c>
      <c r="F23" s="258"/>
      <c r="G23" s="601" t="s">
        <v>203</v>
      </c>
      <c r="H23" s="602" t="s">
        <v>49</v>
      </c>
      <c r="I23" s="598" t="s">
        <v>270</v>
      </c>
      <c r="J23" s="599" t="s">
        <v>50</v>
      </c>
      <c r="K23" s="603" t="s">
        <v>271</v>
      </c>
    </row>
    <row r="24" spans="2:11">
      <c r="B24" s="604" t="str">
        <f>'ENTRADA DE DADOS'!A130</f>
        <v>Camiseta branca de manga longa</v>
      </c>
      <c r="C24" s="605">
        <f>'ENTRADA DE DADOS'!E130</f>
        <v>6</v>
      </c>
      <c r="D24" s="693">
        <f>IF(C24&gt;0,'ENTRADA DE DADOS'!C130,0)</f>
        <v>46.9</v>
      </c>
      <c r="E24" s="587">
        <f t="shared" ref="E24:E38" si="2">ROUND(IF(B24&gt;0,D24*C24,0),2)</f>
        <v>281.39999999999998</v>
      </c>
      <c r="F24" s="258"/>
      <c r="G24" s="606" t="str">
        <f>'ENTRADA DE DADOS'!A141</f>
        <v>Abafador auricular tipo concha, mínimo 20 db</v>
      </c>
      <c r="H24" s="607" t="str">
        <f>'ENTRADA DE DADOS'!B141</f>
        <v>Unidade</v>
      </c>
      <c r="I24" s="605">
        <f>'ENTRADA DE DADOS'!E141</f>
        <v>0</v>
      </c>
      <c r="J24" s="586">
        <f>IF(I24&gt;0,'ENTRADA DE DADOS'!C141,0)</f>
        <v>0</v>
      </c>
      <c r="K24" s="587">
        <f>ROUND(IF(H24&gt;0,J24*I24,0),2)</f>
        <v>0</v>
      </c>
    </row>
    <row r="25" spans="2:11">
      <c r="B25" s="604" t="str">
        <f>'ENTRADA DE DADOS'!A131</f>
        <v>Calça em tecido tipo brim</v>
      </c>
      <c r="C25" s="605">
        <f>'ENTRADA DE DADOS'!E131</f>
        <v>6</v>
      </c>
      <c r="D25" s="693">
        <f>IF(C25&gt;0,'ENTRADA DE DADOS'!C131,0)</f>
        <v>62.9</v>
      </c>
      <c r="E25" s="587">
        <f t="shared" si="2"/>
        <v>377.4</v>
      </c>
      <c r="F25" s="258"/>
      <c r="G25" s="606" t="str">
        <f>'ENTRADA DE DADOS'!A142</f>
        <v>Avental de raspa de couro</v>
      </c>
      <c r="H25" s="607" t="str">
        <f>'ENTRADA DE DADOS'!B142</f>
        <v>Unidade</v>
      </c>
      <c r="I25" s="605">
        <f>'ENTRADA DE DADOS'!E142</f>
        <v>0</v>
      </c>
      <c r="J25" s="586">
        <f>IF(I25&gt;0,'ENTRADA DE DADOS'!C142,0)</f>
        <v>0</v>
      </c>
      <c r="K25" s="587">
        <f t="shared" ref="K25:K38" si="3">ROUND(IF(H25&gt;0,J25*I25,0),2)</f>
        <v>0</v>
      </c>
    </row>
    <row r="26" spans="2:11">
      <c r="B26" s="604" t="str">
        <f>'ENTRADA DE DADOS'!A132</f>
        <v>Meias pretas (pares)</v>
      </c>
      <c r="C26" s="605">
        <f>'ENTRADA DE DADOS'!E132</f>
        <v>6</v>
      </c>
      <c r="D26" s="693">
        <f>IF(C26&gt;0,'ENTRADA DE DADOS'!C132,0)</f>
        <v>4.6077777777777778</v>
      </c>
      <c r="E26" s="587">
        <f t="shared" si="2"/>
        <v>27.65</v>
      </c>
      <c r="F26" s="258"/>
      <c r="G26" s="606" t="str">
        <f>'ENTRADA DE DADOS'!A143</f>
        <v>Boné árabe, brim</v>
      </c>
      <c r="H26" s="607" t="str">
        <f>'ENTRADA DE DADOS'!B143</f>
        <v>Unidade</v>
      </c>
      <c r="I26" s="605">
        <f>'ENTRADA DE DADOS'!E143</f>
        <v>2</v>
      </c>
      <c r="J26" s="586">
        <f>IF(I26&gt;0,'ENTRADA DE DADOS'!C143,0)</f>
        <v>17.3</v>
      </c>
      <c r="K26" s="587">
        <f t="shared" si="3"/>
        <v>34.6</v>
      </c>
    </row>
    <row r="27" spans="2:11">
      <c r="B27" s="604" t="str">
        <f>'ENTRADA DE DADOS'!A133</f>
        <v>Sapato de segurança monodensidade</v>
      </c>
      <c r="C27" s="605">
        <f>'ENTRADA DE DADOS'!E133</f>
        <v>0</v>
      </c>
      <c r="D27" s="693">
        <f>IF(C27&gt;0,'ENTRADA DE DADOS'!C133,0)</f>
        <v>0</v>
      </c>
      <c r="E27" s="587">
        <f t="shared" si="2"/>
        <v>0</v>
      </c>
      <c r="F27" s="258"/>
      <c r="G27" s="606" t="str">
        <f>'ENTRADA DE DADOS'!A144</f>
        <v>Botina de segurança, com elástico, sem biqueira, bidensidade</v>
      </c>
      <c r="H27" s="607" t="str">
        <f>'ENTRADA DE DADOS'!B144</f>
        <v>Par</v>
      </c>
      <c r="I27" s="605">
        <f>'ENTRADA DE DADOS'!E144</f>
        <v>2</v>
      </c>
      <c r="J27" s="586">
        <f>IF(I27&gt;0,'ENTRADA DE DADOS'!C144,0)</f>
        <v>37.799999999999997</v>
      </c>
      <c r="K27" s="587">
        <f t="shared" si="3"/>
        <v>75.599999999999994</v>
      </c>
    </row>
    <row r="28" spans="2:11">
      <c r="B28" s="604" t="str">
        <f>'ENTRADA DE DADOS'!A134</f>
        <v>Crachá</v>
      </c>
      <c r="C28" s="605">
        <f>'ENTRADA DE DADOS'!E134</f>
        <v>1</v>
      </c>
      <c r="D28" s="693">
        <f>IF(C28&gt;0,'ENTRADA DE DADOS'!C134,0)</f>
        <v>18.399999999999999</v>
      </c>
      <c r="E28" s="587">
        <f t="shared" si="2"/>
        <v>18.399999999999999</v>
      </c>
      <c r="F28" s="258"/>
      <c r="G28" s="606" t="str">
        <f>'ENTRADA DE DADOS'!A145</f>
        <v xml:space="preserve">Capa de chuva </v>
      </c>
      <c r="H28" s="607" t="str">
        <f>'ENTRADA DE DADOS'!B145</f>
        <v>Unidade</v>
      </c>
      <c r="I28" s="605">
        <f>'ENTRADA DE DADOS'!E145</f>
        <v>1</v>
      </c>
      <c r="J28" s="586">
        <f>IF(I28&gt;0,'ENTRADA DE DADOS'!C145,0)</f>
        <v>11.186666666666667</v>
      </c>
      <c r="K28" s="587">
        <f t="shared" si="3"/>
        <v>11.19</v>
      </c>
    </row>
    <row r="29" spans="2:11">
      <c r="B29" s="604" t="str">
        <f>'ENTRADA DE DADOS'!A135</f>
        <v>Jaqueta</v>
      </c>
      <c r="C29" s="605">
        <f>'ENTRADA DE DADOS'!E135</f>
        <v>1</v>
      </c>
      <c r="D29" s="693">
        <f>IF(C29&gt;0,'ENTRADA DE DADOS'!C135,0)</f>
        <v>230</v>
      </c>
      <c r="E29" s="587">
        <f t="shared" si="2"/>
        <v>230</v>
      </c>
      <c r="F29" s="258"/>
      <c r="G29" s="606" t="str">
        <f>'ENTRADA DE DADOS'!A146</f>
        <v>Colete refletivo em X</v>
      </c>
      <c r="H29" s="607" t="str">
        <f>'ENTRADA DE DADOS'!B146</f>
        <v>Unidade</v>
      </c>
      <c r="I29" s="605">
        <f>'ENTRADA DE DADOS'!E146</f>
        <v>4</v>
      </c>
      <c r="J29" s="586">
        <f>IF(I29&gt;0,'ENTRADA DE DADOS'!C146,0)</f>
        <v>17.8</v>
      </c>
      <c r="K29" s="587">
        <f t="shared" si="3"/>
        <v>71.2</v>
      </c>
    </row>
    <row r="30" spans="2:11">
      <c r="B30" s="604" t="str">
        <f>'ENTRADA DE DADOS'!A136</f>
        <v>Camiseta branca de manga curta</v>
      </c>
      <c r="C30" s="605">
        <f>'ENTRADA DE DADOS'!E136</f>
        <v>6</v>
      </c>
      <c r="D30" s="693">
        <f>IF(C30&gt;0,'ENTRADA DE DADOS'!C136,0)</f>
        <v>39.799999999999997</v>
      </c>
      <c r="E30" s="587">
        <f t="shared" si="2"/>
        <v>238.8</v>
      </c>
      <c r="F30" s="258"/>
      <c r="G30" s="606" t="str">
        <f>'ENTRADA DE DADOS'!A147</f>
        <v>Luva de raspa de couro, 07 cm de cano</v>
      </c>
      <c r="H30" s="607" t="str">
        <f>'ENTRADA DE DADOS'!B147</f>
        <v>Par</v>
      </c>
      <c r="I30" s="605">
        <f>'ENTRADA DE DADOS'!E147</f>
        <v>6</v>
      </c>
      <c r="J30" s="586">
        <f>IF(I30&gt;0,'ENTRADA DE DADOS'!C147,0)</f>
        <v>6.82</v>
      </c>
      <c r="K30" s="587">
        <f t="shared" si="3"/>
        <v>40.92</v>
      </c>
    </row>
    <row r="31" spans="2:11">
      <c r="B31" s="604">
        <f>'ENTRADA DE DADOS'!A137</f>
        <v>0</v>
      </c>
      <c r="C31" s="605">
        <f>'ENTRADA DE DADOS'!E137</f>
        <v>0</v>
      </c>
      <c r="D31" s="693">
        <f>IF(C31&gt;0,'ENTRADA DE DADOS'!C137,0)</f>
        <v>0</v>
      </c>
      <c r="E31" s="587">
        <f t="shared" si="2"/>
        <v>0</v>
      </c>
      <c r="F31" s="258"/>
      <c r="G31" s="606" t="str">
        <f>'ENTRADA DE DADOS'!A148</f>
        <v>Óculos de proteção, policarbonato, incolor</v>
      </c>
      <c r="H31" s="607" t="str">
        <f>'ENTRADA DE DADOS'!B148</f>
        <v>Unidade</v>
      </c>
      <c r="I31" s="605">
        <f>'ENTRADA DE DADOS'!E148</f>
        <v>2</v>
      </c>
      <c r="J31" s="586">
        <f>IF(I31&gt;0,'ENTRADA DE DADOS'!C148,0)</f>
        <v>4.9000000000000004</v>
      </c>
      <c r="K31" s="587">
        <f t="shared" si="3"/>
        <v>9.8000000000000007</v>
      </c>
    </row>
    <row r="32" spans="2:11">
      <c r="B32" s="604"/>
      <c r="C32" s="608"/>
      <c r="D32" s="693"/>
      <c r="E32" s="587">
        <f t="shared" si="2"/>
        <v>0</v>
      </c>
      <c r="F32" s="258"/>
      <c r="G32" s="606" t="str">
        <f>'ENTRADA DE DADOS'!A149</f>
        <v>Perneira de raspa</v>
      </c>
      <c r="H32" s="607" t="str">
        <f>'ENTRADA DE DADOS'!B149</f>
        <v>Par</v>
      </c>
      <c r="I32" s="605">
        <f>'ENTRADA DE DADOS'!E149</f>
        <v>0</v>
      </c>
      <c r="J32" s="586">
        <f>IF(I32&gt;0,'ENTRADA DE DADOS'!C149,0)</f>
        <v>0</v>
      </c>
      <c r="K32" s="587">
        <f t="shared" si="3"/>
        <v>0</v>
      </c>
    </row>
    <row r="33" spans="2:11">
      <c r="B33" s="604"/>
      <c r="C33" s="608"/>
      <c r="D33" s="693"/>
      <c r="E33" s="587">
        <f t="shared" si="2"/>
        <v>0</v>
      </c>
      <c r="F33" s="258"/>
      <c r="G33" s="606" t="str">
        <f>'ENTRADA DE DADOS'!A150</f>
        <v>Protetor auricular tipo plug</v>
      </c>
      <c r="H33" s="607" t="str">
        <f>'ENTRADA DE DADOS'!B150</f>
        <v>Unidade</v>
      </c>
      <c r="I33" s="605">
        <f>'ENTRADA DE DADOS'!E150</f>
        <v>2</v>
      </c>
      <c r="J33" s="586">
        <f>IF(I33&gt;0,'ENTRADA DE DADOS'!C150,0)</f>
        <v>2.96</v>
      </c>
      <c r="K33" s="587">
        <f t="shared" si="3"/>
        <v>5.92</v>
      </c>
    </row>
    <row r="34" spans="2:11">
      <c r="B34" s="609"/>
      <c r="C34" s="610"/>
      <c r="D34" s="693"/>
      <c r="E34" s="587">
        <f t="shared" si="2"/>
        <v>0</v>
      </c>
      <c r="F34" s="258"/>
      <c r="G34" s="606" t="str">
        <f>'ENTRADA DE DADOS'!A151</f>
        <v>Protetor facial incolor</v>
      </c>
      <c r="H34" s="607" t="str">
        <f>'ENTRADA DE DADOS'!B151</f>
        <v>Unidade</v>
      </c>
      <c r="I34" s="605">
        <f>'ENTRADA DE DADOS'!E151</f>
        <v>0</v>
      </c>
      <c r="J34" s="586">
        <f>IF(I34&gt;0,'ENTRADA DE DADOS'!C151,0)</f>
        <v>0</v>
      </c>
      <c r="K34" s="611">
        <f t="shared" si="3"/>
        <v>0</v>
      </c>
    </row>
    <row r="35" spans="2:11">
      <c r="B35" s="609"/>
      <c r="C35" s="610"/>
      <c r="D35" s="693"/>
      <c r="E35" s="587">
        <f t="shared" si="2"/>
        <v>0</v>
      </c>
      <c r="F35" s="258"/>
      <c r="G35" s="606" t="str">
        <f>'ENTRADA DE DADOS'!A152</f>
        <v>Protetor solar, fator 50</v>
      </c>
      <c r="H35" s="607" t="str">
        <f>'ENTRADA DE DADOS'!B152</f>
        <v>120 Ml</v>
      </c>
      <c r="I35" s="605">
        <f>'ENTRADA DE DADOS'!E152</f>
        <v>12</v>
      </c>
      <c r="J35" s="586">
        <f>IF(I35&gt;0,'ENTRADA DE DADOS'!C152,0)</f>
        <v>26.9</v>
      </c>
      <c r="K35" s="611">
        <f t="shared" si="3"/>
        <v>322.8</v>
      </c>
    </row>
    <row r="36" spans="2:11">
      <c r="B36" s="609"/>
      <c r="C36" s="610"/>
      <c r="D36" s="693"/>
      <c r="E36" s="587">
        <f t="shared" si="2"/>
        <v>0</v>
      </c>
      <c r="F36" s="258"/>
      <c r="G36" s="606" t="str">
        <f>'ENTRADA DE DADOS'!A153</f>
        <v>kit 2 conjunto Pulverização Agrotoxico + 2 mascaras + 8 filtros sayro</v>
      </c>
      <c r="H36" s="607" t="str">
        <f>'ENTRADA DE DADOS'!B153</f>
        <v>Unidade</v>
      </c>
      <c r="I36" s="605">
        <f>'ENTRADA DE DADOS'!E153</f>
        <v>2</v>
      </c>
      <c r="J36" s="586">
        <f>IF(I36&gt;0,'ENTRADA DE DADOS'!C153,0)</f>
        <v>966.64</v>
      </c>
      <c r="K36" s="611">
        <f t="shared" si="3"/>
        <v>1933.28</v>
      </c>
    </row>
    <row r="37" spans="2:11">
      <c r="B37" s="609"/>
      <c r="C37" s="610"/>
      <c r="D37" s="693"/>
      <c r="E37" s="587"/>
      <c r="F37" s="258"/>
      <c r="G37" s="606" t="str">
        <f>'ENTRADA DE DADOS'!A154</f>
        <v>Repelente spray</v>
      </c>
      <c r="H37" s="607" t="str">
        <f>'ENTRADA DE DADOS'!B154</f>
        <v>Unidade</v>
      </c>
      <c r="I37" s="605">
        <f>'ENTRADA DE DADOS'!E154</f>
        <v>12</v>
      </c>
      <c r="J37" s="586">
        <f>IF(I37&gt;0,'ENTRADA DE DADOS'!C154,0)</f>
        <v>22.9</v>
      </c>
      <c r="K37" s="611">
        <f t="shared" si="3"/>
        <v>274.8</v>
      </c>
    </row>
    <row r="38" spans="2:11">
      <c r="B38" s="609"/>
      <c r="C38" s="610"/>
      <c r="D38" s="693"/>
      <c r="E38" s="587">
        <f t="shared" si="2"/>
        <v>0</v>
      </c>
      <c r="F38" s="258"/>
      <c r="G38" s="606">
        <f>'ENTRADA DE DADOS'!A155</f>
        <v>0</v>
      </c>
      <c r="H38" s="607">
        <f>'ENTRADA DE DADOS'!B155</f>
        <v>0</v>
      </c>
      <c r="I38" s="605">
        <f>'ENTRADA DE DADOS'!E155</f>
        <v>0</v>
      </c>
      <c r="J38" s="586">
        <f>IF(I38&gt;0,'ENTRADA DE DADOS'!C155,0)</f>
        <v>0</v>
      </c>
      <c r="K38" s="611">
        <f t="shared" si="3"/>
        <v>0</v>
      </c>
    </row>
    <row r="39" spans="2:11">
      <c r="B39" s="1096" t="s">
        <v>272</v>
      </c>
      <c r="C39" s="1091"/>
      <c r="D39" s="695"/>
      <c r="E39" s="589">
        <f>ROUND(SUM(E24:E38),2)</f>
        <v>1173.6500000000001</v>
      </c>
      <c r="F39" s="258"/>
      <c r="G39" s="1096" t="s">
        <v>272</v>
      </c>
      <c r="H39" s="1107"/>
      <c r="I39" s="1091"/>
      <c r="J39" s="588"/>
      <c r="K39" s="589">
        <f>ROUND(SUM(K24:K38),2)</f>
        <v>2780.11</v>
      </c>
    </row>
    <row r="40" spans="2:11">
      <c r="B40" s="1096" t="s">
        <v>273</v>
      </c>
      <c r="C40" s="1091"/>
      <c r="D40" s="695"/>
      <c r="E40" s="589">
        <f>ROUND(E39/12,2)</f>
        <v>97.8</v>
      </c>
      <c r="F40" s="258"/>
      <c r="G40" s="1096" t="s">
        <v>273</v>
      </c>
      <c r="H40" s="1107"/>
      <c r="I40" s="1091"/>
      <c r="J40" s="588"/>
      <c r="K40" s="589">
        <f>ROUND(K39/12,2)</f>
        <v>231.68</v>
      </c>
    </row>
    <row r="41" spans="2:11">
      <c r="B41" s="1097" t="s">
        <v>156</v>
      </c>
      <c r="C41" s="1093"/>
      <c r="D41" s="697">
        <f>D20</f>
        <v>0</v>
      </c>
      <c r="E41" s="590">
        <f>-ROUND(E40*D41,2)</f>
        <v>0</v>
      </c>
      <c r="F41" s="258"/>
      <c r="G41" s="1097" t="s">
        <v>156</v>
      </c>
      <c r="H41" s="1108"/>
      <c r="I41" s="1093"/>
      <c r="J41" s="591">
        <f>J20</f>
        <v>0</v>
      </c>
      <c r="K41" s="590">
        <f>-ROUND(K40*J41,2)</f>
        <v>0</v>
      </c>
    </row>
    <row r="42" spans="2:11">
      <c r="B42" s="1098" t="s">
        <v>157</v>
      </c>
      <c r="C42" s="1099"/>
      <c r="D42" s="702"/>
      <c r="E42" s="593">
        <f>SUM(E40:E41)</f>
        <v>97.8</v>
      </c>
      <c r="F42" s="258"/>
      <c r="G42" s="1098" t="s">
        <v>157</v>
      </c>
      <c r="H42" s="1099"/>
      <c r="I42" s="1099"/>
      <c r="J42" s="592"/>
      <c r="K42" s="593">
        <f>SUM(K40:K41)</f>
        <v>231.68</v>
      </c>
    </row>
    <row r="43" spans="2:11">
      <c r="B43" s="266"/>
      <c r="C43" s="34"/>
      <c r="D43" s="27"/>
      <c r="E43" s="267"/>
      <c r="F43" s="262"/>
      <c r="G43" s="266"/>
      <c r="H43" s="34"/>
      <c r="I43" s="34"/>
      <c r="J43" s="27"/>
      <c r="K43" s="267"/>
    </row>
    <row r="44" spans="2:11" ht="25.5">
      <c r="B44" s="601" t="s">
        <v>35</v>
      </c>
      <c r="C44" s="598" t="s">
        <v>270</v>
      </c>
      <c r="D44" s="703" t="s">
        <v>50</v>
      </c>
      <c r="E44" s="600" t="s">
        <v>271</v>
      </c>
      <c r="F44" s="258"/>
      <c r="G44" s="601" t="s">
        <v>35</v>
      </c>
      <c r="H44" s="602" t="s">
        <v>49</v>
      </c>
      <c r="I44" s="598" t="s">
        <v>270</v>
      </c>
      <c r="J44" s="599" t="s">
        <v>50</v>
      </c>
      <c r="K44" s="603" t="s">
        <v>271</v>
      </c>
    </row>
    <row r="45" spans="2:11">
      <c r="B45" s="604" t="str">
        <f>'ENTRADA DE DADOS'!A130</f>
        <v>Camiseta branca de manga longa</v>
      </c>
      <c r="C45" s="605">
        <f>'ENTRADA DE DADOS'!F130</f>
        <v>6</v>
      </c>
      <c r="D45" s="693">
        <f>IF(C45&gt;0,'ENTRADA DE DADOS'!C130,0)</f>
        <v>46.9</v>
      </c>
      <c r="E45" s="587">
        <f>ROUND(IF(B45&gt;0,D45*C45,0),2)</f>
        <v>281.39999999999998</v>
      </c>
      <c r="F45" s="258"/>
      <c r="G45" s="612" t="str">
        <f>'ENTRADA DE DADOS'!A141</f>
        <v>Abafador auricular tipo concha, mínimo 20 db</v>
      </c>
      <c r="H45" s="613" t="str">
        <f>'ENTRADA DE DADOS'!B141</f>
        <v>Unidade</v>
      </c>
      <c r="I45" s="614">
        <f>'ENTRADA DE DADOS'!F141</f>
        <v>0</v>
      </c>
      <c r="J45" s="615">
        <f>IF(I45&gt;0,'ENTRADA DE DADOS'!C141,0)</f>
        <v>0</v>
      </c>
      <c r="K45" s="616">
        <f>ROUND(IF(H45&gt;0,J45*I45,0),2)</f>
        <v>0</v>
      </c>
    </row>
    <row r="46" spans="2:11">
      <c r="B46" s="617" t="str">
        <f>'ENTRADA DE DADOS'!A131</f>
        <v>Calça em tecido tipo brim</v>
      </c>
      <c r="C46" s="605">
        <f>'ENTRADA DE DADOS'!F131</f>
        <v>6</v>
      </c>
      <c r="D46" s="693">
        <f>IF(C46&gt;0,'ENTRADA DE DADOS'!C131,0)</f>
        <v>62.9</v>
      </c>
      <c r="E46" s="616">
        <f t="shared" ref="E46:E59" si="4">ROUND(IF(B46&gt;0,D46*C46,0),2)</f>
        <v>377.4</v>
      </c>
      <c r="F46" s="258"/>
      <c r="G46" s="618" t="str">
        <f>'ENTRADA DE DADOS'!A142</f>
        <v>Avental de raspa de couro</v>
      </c>
      <c r="H46" s="613" t="str">
        <f>'ENTRADA DE DADOS'!B142</f>
        <v>Unidade</v>
      </c>
      <c r="I46" s="619">
        <f>'ENTRADA DE DADOS'!F142</f>
        <v>0</v>
      </c>
      <c r="J46" s="620">
        <f>IF(I46&gt;0,'ENTRADA DE DADOS'!C142,0)</f>
        <v>0</v>
      </c>
      <c r="K46" s="621">
        <f t="shared" ref="K46:K59" si="5">ROUND(IF(H46&gt;0,J46*I46,0),2)</f>
        <v>0</v>
      </c>
    </row>
    <row r="47" spans="2:11">
      <c r="B47" s="622" t="str">
        <f>'ENTRADA DE DADOS'!A132</f>
        <v>Meias pretas (pares)</v>
      </c>
      <c r="C47" s="605">
        <f>'ENTRADA DE DADOS'!F132</f>
        <v>6</v>
      </c>
      <c r="D47" s="693">
        <f>IF(C47&gt;0,'ENTRADA DE DADOS'!C132,0)</f>
        <v>4.6077777777777778</v>
      </c>
      <c r="E47" s="621">
        <f t="shared" si="4"/>
        <v>27.65</v>
      </c>
      <c r="F47" s="258"/>
      <c r="G47" s="623" t="str">
        <f>'ENTRADA DE DADOS'!A143</f>
        <v>Boné árabe, brim</v>
      </c>
      <c r="H47" s="613" t="str">
        <f>'ENTRADA DE DADOS'!B143</f>
        <v>Unidade</v>
      </c>
      <c r="I47" s="624">
        <f>'ENTRADA DE DADOS'!F143</f>
        <v>0</v>
      </c>
      <c r="J47" s="625">
        <f>IF(I47&gt;0,'ENTRADA DE DADOS'!C143,0)</f>
        <v>0</v>
      </c>
      <c r="K47" s="626">
        <f t="shared" si="5"/>
        <v>0</v>
      </c>
    </row>
    <row r="48" spans="2:11">
      <c r="B48" s="627" t="str">
        <f>'ENTRADA DE DADOS'!A133</f>
        <v>Sapato de segurança monodensidade</v>
      </c>
      <c r="C48" s="605">
        <f>'ENTRADA DE DADOS'!F133</f>
        <v>2</v>
      </c>
      <c r="D48" s="693">
        <f>IF(C48&gt;0,'ENTRADA DE DADOS'!C133,0)</f>
        <v>48.2</v>
      </c>
      <c r="E48" s="626">
        <f t="shared" si="4"/>
        <v>96.4</v>
      </c>
      <c r="F48" s="258"/>
      <c r="G48" s="628" t="str">
        <f>'ENTRADA DE DADOS'!A144</f>
        <v>Botina de segurança, com elástico, sem biqueira, bidensidade</v>
      </c>
      <c r="H48" s="613" t="str">
        <f>'ENTRADA DE DADOS'!B144</f>
        <v>Par</v>
      </c>
      <c r="I48" s="629">
        <f>'ENTRADA DE DADOS'!F144</f>
        <v>0</v>
      </c>
      <c r="J48" s="630">
        <f>IF(I48&gt;0,'ENTRADA DE DADOS'!C144,0)</f>
        <v>0</v>
      </c>
      <c r="K48" s="631">
        <f t="shared" si="5"/>
        <v>0</v>
      </c>
    </row>
    <row r="49" spans="2:11">
      <c r="B49" s="632" t="str">
        <f>'ENTRADA DE DADOS'!A134</f>
        <v>Crachá</v>
      </c>
      <c r="C49" s="605">
        <f>'ENTRADA DE DADOS'!F134</f>
        <v>1</v>
      </c>
      <c r="D49" s="693">
        <f>IF(C49&gt;0,'ENTRADA DE DADOS'!C134,0)</f>
        <v>18.399999999999999</v>
      </c>
      <c r="E49" s="631">
        <f t="shared" si="4"/>
        <v>18.399999999999999</v>
      </c>
      <c r="F49" s="258"/>
      <c r="G49" s="633" t="str">
        <f>'ENTRADA DE DADOS'!A145</f>
        <v xml:space="preserve">Capa de chuva </v>
      </c>
      <c r="H49" s="613" t="str">
        <f>'ENTRADA DE DADOS'!B145</f>
        <v>Unidade</v>
      </c>
      <c r="I49" s="634">
        <f>'ENTRADA DE DADOS'!F145</f>
        <v>0</v>
      </c>
      <c r="J49" s="635">
        <f>IF(I49&gt;0,'ENTRADA DE DADOS'!C145,0)</f>
        <v>0</v>
      </c>
      <c r="K49" s="636">
        <f t="shared" si="5"/>
        <v>0</v>
      </c>
    </row>
    <row r="50" spans="2:11">
      <c r="B50" s="637" t="str">
        <f>'ENTRADA DE DADOS'!A135</f>
        <v>Jaqueta</v>
      </c>
      <c r="C50" s="605">
        <f>'ENTRADA DE DADOS'!F135</f>
        <v>1</v>
      </c>
      <c r="D50" s="693">
        <f>IF(C50&gt;0,'ENTRADA DE DADOS'!C135,0)</f>
        <v>230</v>
      </c>
      <c r="E50" s="636">
        <f t="shared" si="4"/>
        <v>230</v>
      </c>
      <c r="F50" s="258"/>
      <c r="G50" s="638" t="str">
        <f>'ENTRADA DE DADOS'!A146</f>
        <v>Colete refletivo em X</v>
      </c>
      <c r="H50" s="613" t="str">
        <f>'ENTRADA DE DADOS'!B146</f>
        <v>Unidade</v>
      </c>
      <c r="I50" s="639">
        <f>'ENTRADA DE DADOS'!F146</f>
        <v>0</v>
      </c>
      <c r="J50" s="640">
        <f>IF(I50&gt;0,'ENTRADA DE DADOS'!C146,0)</f>
        <v>0</v>
      </c>
      <c r="K50" s="641">
        <f t="shared" si="5"/>
        <v>0</v>
      </c>
    </row>
    <row r="51" spans="2:11">
      <c r="B51" s="642" t="str">
        <f>'ENTRADA DE DADOS'!A136</f>
        <v>Camiseta branca de manga curta</v>
      </c>
      <c r="C51" s="605">
        <f>'ENTRADA DE DADOS'!F136</f>
        <v>6</v>
      </c>
      <c r="D51" s="693">
        <f>IF(C51&gt;0,'ENTRADA DE DADOS'!C136,0)</f>
        <v>39.799999999999997</v>
      </c>
      <c r="E51" s="641">
        <f t="shared" si="4"/>
        <v>238.8</v>
      </c>
      <c r="F51" s="258"/>
      <c r="G51" s="643" t="str">
        <f>'ENTRADA DE DADOS'!A147</f>
        <v>Luva de raspa de couro, 07 cm de cano</v>
      </c>
      <c r="H51" s="613" t="str">
        <f>'ENTRADA DE DADOS'!B147</f>
        <v>Par</v>
      </c>
      <c r="I51" s="644">
        <f>'ENTRADA DE DADOS'!F147</f>
        <v>0</v>
      </c>
      <c r="J51" s="645">
        <f>IF(I51&gt;0,'ENTRADA DE DADOS'!C147,0)</f>
        <v>0</v>
      </c>
      <c r="K51" s="646">
        <f t="shared" si="5"/>
        <v>0</v>
      </c>
    </row>
    <row r="52" spans="2:11">
      <c r="B52" s="647">
        <f>'ENTRADA DE DADOS'!A137</f>
        <v>0</v>
      </c>
      <c r="C52" s="605">
        <f>'ENTRADA DE DADOS'!F137</f>
        <v>0</v>
      </c>
      <c r="D52" s="693">
        <f>IF(C52&gt;0,'ENTRADA DE DADOS'!C137,0)</f>
        <v>0</v>
      </c>
      <c r="E52" s="646">
        <f t="shared" si="4"/>
        <v>0</v>
      </c>
      <c r="F52" s="258"/>
      <c r="G52" s="648" t="str">
        <f>'ENTRADA DE DADOS'!A148</f>
        <v>Óculos de proteção, policarbonato, incolor</v>
      </c>
      <c r="H52" s="613" t="str">
        <f>'ENTRADA DE DADOS'!B148</f>
        <v>Unidade</v>
      </c>
      <c r="I52" s="649">
        <f>'ENTRADA DE DADOS'!F148</f>
        <v>0</v>
      </c>
      <c r="J52" s="650">
        <f>IF(I52&gt;0,'ENTRADA DE DADOS'!C148,0)</f>
        <v>0</v>
      </c>
      <c r="K52" s="651">
        <f t="shared" si="5"/>
        <v>0</v>
      </c>
    </row>
    <row r="53" spans="2:11">
      <c r="B53" s="652"/>
      <c r="C53" s="653"/>
      <c r="D53" s="693"/>
      <c r="E53" s="651">
        <f t="shared" si="4"/>
        <v>0</v>
      </c>
      <c r="F53" s="258"/>
      <c r="G53" s="654" t="str">
        <f>'ENTRADA DE DADOS'!A149</f>
        <v>Perneira de raspa</v>
      </c>
      <c r="H53" s="613" t="str">
        <f>'ENTRADA DE DADOS'!B149</f>
        <v>Par</v>
      </c>
      <c r="I53" s="655">
        <f>'ENTRADA DE DADOS'!F149</f>
        <v>0</v>
      </c>
      <c r="J53" s="656">
        <f>IF(I53&gt;0,'ENTRADA DE DADOS'!C149,0)</f>
        <v>0</v>
      </c>
      <c r="K53" s="657">
        <f t="shared" si="5"/>
        <v>0</v>
      </c>
    </row>
    <row r="54" spans="2:11">
      <c r="B54" s="658"/>
      <c r="C54" s="659"/>
      <c r="D54" s="693"/>
      <c r="E54" s="657">
        <f t="shared" si="4"/>
        <v>0</v>
      </c>
      <c r="F54" s="258"/>
      <c r="G54" s="660" t="str">
        <f>'ENTRADA DE DADOS'!A150</f>
        <v>Protetor auricular tipo plug</v>
      </c>
      <c r="H54" s="613" t="str">
        <f>'ENTRADA DE DADOS'!B150</f>
        <v>Unidade</v>
      </c>
      <c r="I54" s="661">
        <f>'ENTRADA DE DADOS'!F150</f>
        <v>0</v>
      </c>
      <c r="J54" s="662">
        <f>IF(I54&gt;0,'ENTRADA DE DADOS'!C150,0)</f>
        <v>0</v>
      </c>
      <c r="K54" s="663">
        <f t="shared" si="5"/>
        <v>0</v>
      </c>
    </row>
    <row r="55" spans="2:11">
      <c r="B55" s="664"/>
      <c r="C55" s="665"/>
      <c r="D55" s="693"/>
      <c r="E55" s="663">
        <f t="shared" si="4"/>
        <v>0</v>
      </c>
      <c r="F55" s="258"/>
      <c r="G55" s="666" t="str">
        <f>'ENTRADA DE DADOS'!A151</f>
        <v>Protetor facial incolor</v>
      </c>
      <c r="H55" s="613" t="str">
        <f>'ENTRADA DE DADOS'!B151</f>
        <v>Unidade</v>
      </c>
      <c r="I55" s="667">
        <f>'ENTRADA DE DADOS'!F151</f>
        <v>0</v>
      </c>
      <c r="J55" s="668">
        <f>IF(I55&gt;0,'ENTRADA DE DADOS'!C151,0)</f>
        <v>0</v>
      </c>
      <c r="K55" s="669">
        <f t="shared" si="5"/>
        <v>0</v>
      </c>
    </row>
    <row r="56" spans="2:11">
      <c r="B56" s="670"/>
      <c r="C56" s="671"/>
      <c r="D56" s="693"/>
      <c r="E56" s="669">
        <f t="shared" si="4"/>
        <v>0</v>
      </c>
      <c r="F56" s="258"/>
      <c r="G56" s="672" t="str">
        <f>'ENTRADA DE DADOS'!A152</f>
        <v>Protetor solar, fator 50</v>
      </c>
      <c r="H56" s="673" t="str">
        <f>'ENTRADA DE DADOS'!B152</f>
        <v>120 Ml</v>
      </c>
      <c r="I56" s="674">
        <f>'ENTRADA DE DADOS'!F152</f>
        <v>0</v>
      </c>
      <c r="J56" s="675">
        <f>IF(I56&gt;0,'ENTRADA DE DADOS'!C152,0)</f>
        <v>0</v>
      </c>
      <c r="K56" s="676">
        <f t="shared" si="5"/>
        <v>0</v>
      </c>
    </row>
    <row r="57" spans="2:11">
      <c r="B57" s="677"/>
      <c r="C57" s="678"/>
      <c r="D57" s="693"/>
      <c r="E57" s="676">
        <f t="shared" si="4"/>
        <v>0</v>
      </c>
      <c r="F57" s="258"/>
      <c r="G57" s="679" t="str">
        <f>'ENTRADA DE DADOS'!A153</f>
        <v>kit 2 conjunto Pulverização Agrotoxico + 2 mascaras + 8 filtros sayro</v>
      </c>
      <c r="H57" s="673" t="str">
        <f>'ENTRADA DE DADOS'!B153</f>
        <v>Unidade</v>
      </c>
      <c r="I57" s="680">
        <f>'ENTRADA DE DADOS'!F153</f>
        <v>0</v>
      </c>
      <c r="J57" s="681">
        <f>IF(I57&gt;0,'ENTRADA DE DADOS'!C153,0)</f>
        <v>0</v>
      </c>
      <c r="K57" s="682">
        <f t="shared" si="5"/>
        <v>0</v>
      </c>
    </row>
    <row r="58" spans="2:11">
      <c r="B58" s="683"/>
      <c r="C58" s="684"/>
      <c r="D58" s="693"/>
      <c r="E58" s="682"/>
      <c r="F58" s="258"/>
      <c r="G58" s="685" t="str">
        <f>'ENTRADA DE DADOS'!A154</f>
        <v>Repelente spray</v>
      </c>
      <c r="H58" s="673" t="str">
        <f>'ENTRADA DE DADOS'!B154</f>
        <v>Unidade</v>
      </c>
      <c r="I58" s="686">
        <f>'ENTRADA DE DADOS'!F154</f>
        <v>12</v>
      </c>
      <c r="J58" s="687">
        <f>IF(I58&gt;0,'ENTRADA DE DADOS'!C154,0)</f>
        <v>22.9</v>
      </c>
      <c r="K58" s="688">
        <f t="shared" si="5"/>
        <v>274.8</v>
      </c>
    </row>
    <row r="59" spans="2:11">
      <c r="B59" s="689"/>
      <c r="C59" s="690"/>
      <c r="D59" s="693"/>
      <c r="E59" s="688">
        <f t="shared" si="4"/>
        <v>0</v>
      </c>
      <c r="F59" s="258"/>
      <c r="G59" s="691">
        <f>'ENTRADA DE DADOS'!A155</f>
        <v>0</v>
      </c>
      <c r="H59" s="673">
        <f>'ENTRADA DE DADOS'!B155</f>
        <v>0</v>
      </c>
      <c r="I59" s="692">
        <f>'ENTRADA DE DADOS'!F155</f>
        <v>0</v>
      </c>
      <c r="J59" s="693">
        <f>IF(I59&gt;0,'ENTRADA DE DADOS'!C155,0)</f>
        <v>0</v>
      </c>
      <c r="K59" s="694">
        <f t="shared" si="5"/>
        <v>0</v>
      </c>
    </row>
    <row r="60" spans="2:11">
      <c r="B60" s="1090" t="s">
        <v>272</v>
      </c>
      <c r="C60" s="1091"/>
      <c r="D60" s="695"/>
      <c r="E60" s="696">
        <f>ROUND(SUM(E45:E59),2)</f>
        <v>1270.05</v>
      </c>
      <c r="F60" s="258"/>
      <c r="G60" s="1090" t="s">
        <v>272</v>
      </c>
      <c r="H60" s="1107"/>
      <c r="I60" s="1091"/>
      <c r="J60" s="695"/>
      <c r="K60" s="696">
        <f>ROUND(SUM(K45:K59),2)</f>
        <v>274.8</v>
      </c>
    </row>
    <row r="61" spans="2:11">
      <c r="B61" s="1090" t="s">
        <v>273</v>
      </c>
      <c r="C61" s="1091"/>
      <c r="D61" s="695"/>
      <c r="E61" s="696">
        <f>ROUND(E60/12,2)</f>
        <v>105.84</v>
      </c>
      <c r="F61" s="258"/>
      <c r="G61" s="1090" t="s">
        <v>273</v>
      </c>
      <c r="H61" s="1107"/>
      <c r="I61" s="1091"/>
      <c r="J61" s="695"/>
      <c r="K61" s="696">
        <f>ROUND(K60/12,2)</f>
        <v>22.9</v>
      </c>
    </row>
    <row r="62" spans="2:11">
      <c r="B62" s="1092" t="s">
        <v>156</v>
      </c>
      <c r="C62" s="1093"/>
      <c r="D62" s="697">
        <f>D41</f>
        <v>0</v>
      </c>
      <c r="E62" s="698">
        <f>-ROUND(E61*D62,2)</f>
        <v>0</v>
      </c>
      <c r="F62" s="258"/>
      <c r="G62" s="1092" t="s">
        <v>156</v>
      </c>
      <c r="H62" s="1108"/>
      <c r="I62" s="1093"/>
      <c r="J62" s="697">
        <f>J41</f>
        <v>0</v>
      </c>
      <c r="K62" s="698">
        <f>-ROUND(K61*J62,2)</f>
        <v>0</v>
      </c>
    </row>
    <row r="63" spans="2:11" ht="13.5" thickBot="1">
      <c r="B63" s="1094" t="s">
        <v>157</v>
      </c>
      <c r="C63" s="1095"/>
      <c r="D63" s="699"/>
      <c r="E63" s="700">
        <f>SUM(E61:E62)</f>
        <v>105.84</v>
      </c>
      <c r="F63" s="258"/>
      <c r="G63" s="1094" t="s">
        <v>157</v>
      </c>
      <c r="H63" s="1095"/>
      <c r="I63" s="1095"/>
      <c r="J63" s="699"/>
      <c r="K63" s="700">
        <f>SUM(K61:K62)</f>
        <v>22.9</v>
      </c>
    </row>
    <row r="64" spans="2:11">
      <c r="F64" s="143"/>
      <c r="G64" s="257"/>
      <c r="H64" s="258"/>
      <c r="J64" s="257"/>
    </row>
  </sheetData>
  <sheetProtection password="89AB" sheet="1" objects="1" scenarios="1"/>
  <protectedRanges>
    <protectedRange sqref="D20 J20" name="Intervalo1"/>
  </protectedRanges>
  <mergeCells count="26">
    <mergeCell ref="G63:I63"/>
    <mergeCell ref="G60:I60"/>
    <mergeCell ref="G61:I61"/>
    <mergeCell ref="G62:I62"/>
    <mergeCell ref="G39:I39"/>
    <mergeCell ref="G40:I40"/>
    <mergeCell ref="G41:I41"/>
    <mergeCell ref="G42:I42"/>
    <mergeCell ref="G19:I19"/>
    <mergeCell ref="G20:I20"/>
    <mergeCell ref="G21:I21"/>
    <mergeCell ref="G18:I18"/>
    <mergeCell ref="G1:K1"/>
    <mergeCell ref="B21:C21"/>
    <mergeCell ref="B18:C18"/>
    <mergeCell ref="B19:C19"/>
    <mergeCell ref="B20:C20"/>
    <mergeCell ref="B1:E1"/>
    <mergeCell ref="B61:C61"/>
    <mergeCell ref="B62:C62"/>
    <mergeCell ref="B63:C63"/>
    <mergeCell ref="B39:C39"/>
    <mergeCell ref="B40:C40"/>
    <mergeCell ref="B41:C41"/>
    <mergeCell ref="B42:C42"/>
    <mergeCell ref="B60:C60"/>
  </mergeCells>
  <conditionalFormatting sqref="C21 B20:B21 B42:C42 B63:C63 G20 J20 G41 J41 G62 J62">
    <cfRule type="expression" dxfId="6" priority="7" stopIfTrue="1">
      <formula>#REF!=TRUE</formula>
    </cfRule>
  </conditionalFormatting>
  <conditionalFormatting sqref="B41">
    <cfRule type="expression" dxfId="5" priority="6" stopIfTrue="1">
      <formula>#REF!=TRUE</formula>
    </cfRule>
  </conditionalFormatting>
  <conditionalFormatting sqref="B62">
    <cfRule type="expression" dxfId="4" priority="5" stopIfTrue="1">
      <formula>#REF!=TRUE</formula>
    </cfRule>
  </conditionalFormatting>
  <conditionalFormatting sqref="G21:I21">
    <cfRule type="expression" dxfId="3" priority="4" stopIfTrue="1">
      <formula>#REF!=TRUE</formula>
    </cfRule>
  </conditionalFormatting>
  <conditionalFormatting sqref="G42:I42">
    <cfRule type="expression" dxfId="2" priority="3" stopIfTrue="1">
      <formula>#REF!=TRUE</formula>
    </cfRule>
  </conditionalFormatting>
  <conditionalFormatting sqref="G63:I63">
    <cfRule type="expression" dxfId="1" priority="2" stopIfTrue="1">
      <formula>#REF!=TRUE</formula>
    </cfRule>
  </conditionalFormatting>
  <conditionalFormatting sqref="D20 D41 D62">
    <cfRule type="expression" dxfId="0" priority="1" stopIfTrue="1">
      <formula>#REF!=TRUE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8" tint="0.79998168889431442"/>
    <pageSetUpPr fitToPage="1"/>
  </sheetPr>
  <dimension ref="A1:J27"/>
  <sheetViews>
    <sheetView showGridLines="0" zoomScaleNormal="100" workbookViewId="0">
      <pane xSplit="1" ySplit="3" topLeftCell="B4" activePane="bottomRight" state="frozen"/>
      <selection activeCell="B18" sqref="B18:C18"/>
      <selection pane="topRight" activeCell="B18" sqref="B18:C18"/>
      <selection pane="bottomLeft" activeCell="B18" sqref="B18:C18"/>
      <selection pane="bottomRight" activeCell="A27" sqref="A1:G27"/>
    </sheetView>
  </sheetViews>
  <sheetFormatPr defaultRowHeight="12.75"/>
  <cols>
    <col min="1" max="1" width="56.28515625" style="28" bestFit="1" customWidth="1"/>
    <col min="2" max="2" width="9.7109375" style="28" bestFit="1" customWidth="1"/>
    <col min="3" max="3" width="10" style="787" bestFit="1" customWidth="1"/>
    <col min="4" max="4" width="8" style="28" customWidth="1"/>
    <col min="5" max="5" width="13.5703125" style="28" bestFit="1" customWidth="1"/>
    <col min="6" max="6" width="12.85546875" style="28" customWidth="1"/>
    <col min="7" max="7" width="12.5703125" style="28" customWidth="1"/>
    <col min="8" max="8" width="10.140625" style="28" bestFit="1" customWidth="1"/>
    <col min="9" max="9" width="6.42578125" style="28" customWidth="1"/>
    <col min="10" max="10" width="9.85546875" style="28" customWidth="1"/>
    <col min="11" max="16384" width="9.140625" style="28"/>
  </cols>
  <sheetData>
    <row r="1" spans="1:10" ht="5.25" customHeight="1" thickBot="1"/>
    <row r="2" spans="1:10" ht="24" customHeight="1" thickBot="1">
      <c r="A2" s="1116" t="s">
        <v>159</v>
      </c>
      <c r="B2" s="1117"/>
      <c r="C2" s="1117"/>
      <c r="D2" s="1117"/>
      <c r="E2" s="1117"/>
      <c r="F2" s="1117"/>
      <c r="G2" s="1118"/>
    </row>
    <row r="3" spans="1:10" ht="30" customHeight="1" thickBot="1">
      <c r="A3" s="788" t="s">
        <v>43</v>
      </c>
      <c r="B3" s="789" t="s">
        <v>42</v>
      </c>
      <c r="C3" s="790" t="s">
        <v>54</v>
      </c>
      <c r="D3" s="791" t="s">
        <v>336</v>
      </c>
      <c r="E3" s="789" t="s">
        <v>96</v>
      </c>
      <c r="F3" s="789" t="s">
        <v>34</v>
      </c>
      <c r="G3" s="792" t="s">
        <v>41</v>
      </c>
    </row>
    <row r="4" spans="1:10" ht="18" customHeight="1">
      <c r="A4" s="766" t="str">
        <f>'ENTRADA DE DADOS'!A110</f>
        <v>Ancinho, rastelo curvo, cabo 150 cm (METAL)</v>
      </c>
      <c r="B4" s="767" t="str">
        <f>'ENTRADA DE DADOS'!B110</f>
        <v>Unidade</v>
      </c>
      <c r="C4" s="777">
        <f>'ENTRADA DE DADOS'!C110</f>
        <v>6</v>
      </c>
      <c r="D4" s="813">
        <f>'ENTRADA DE DADOS'!D110</f>
        <v>2</v>
      </c>
      <c r="E4" s="768">
        <f>'ENTRADA DE DADOS'!E110</f>
        <v>29.5</v>
      </c>
      <c r="F4" s="768">
        <f t="shared" ref="F4:F16" si="0">D4*E4</f>
        <v>59</v>
      </c>
      <c r="G4" s="785">
        <f>ROUND(IF(C4&gt;0,F4/C4,0),2)</f>
        <v>9.83</v>
      </c>
      <c r="H4" s="248"/>
      <c r="I4" s="89"/>
      <c r="J4" s="173"/>
    </row>
    <row r="5" spans="1:10" ht="18" customHeight="1">
      <c r="A5" s="376" t="str">
        <f>'ENTRADA DE DADOS'!A111</f>
        <v>Cone para sinalização, laranja e branco, 50 cm</v>
      </c>
      <c r="B5" s="782" t="str">
        <f>'ENTRADA DE DADOS'!B111</f>
        <v>Unidade</v>
      </c>
      <c r="C5" s="783">
        <f>'ENTRADA DE DADOS'!C111</f>
        <v>12</v>
      </c>
      <c r="D5" s="814">
        <f>'ENTRADA DE DADOS'!D111</f>
        <v>2</v>
      </c>
      <c r="E5" s="784">
        <f>'ENTRADA DE DADOS'!E111</f>
        <v>23.5</v>
      </c>
      <c r="F5" s="784">
        <f>D5*E5</f>
        <v>47</v>
      </c>
      <c r="G5" s="785">
        <f t="shared" ref="G5:G19" si="1">ROUND(IF(C5&gt;0,F5/C5,0),2)</f>
        <v>3.92</v>
      </c>
      <c r="H5" s="248"/>
      <c r="I5" s="89"/>
      <c r="J5" s="173"/>
    </row>
    <row r="6" spans="1:10" ht="18" customHeight="1">
      <c r="A6" s="376" t="str">
        <f>'ENTRADA DE DADOS'!A112</f>
        <v>Enxada larga de 30 cm c/ cabo de madeira</v>
      </c>
      <c r="B6" s="782" t="str">
        <f>'ENTRADA DE DADOS'!B112</f>
        <v>Unidade</v>
      </c>
      <c r="C6" s="783">
        <f>'ENTRADA DE DADOS'!C112</f>
        <v>12</v>
      </c>
      <c r="D6" s="814">
        <f>'ENTRADA DE DADOS'!D112</f>
        <v>1</v>
      </c>
      <c r="E6" s="784">
        <f>'ENTRADA DE DADOS'!E112</f>
        <v>24.2</v>
      </c>
      <c r="F6" s="784">
        <f t="shared" si="0"/>
        <v>24.2</v>
      </c>
      <c r="G6" s="785">
        <f t="shared" si="1"/>
        <v>2.02</v>
      </c>
      <c r="H6" s="248"/>
      <c r="I6" s="89"/>
      <c r="J6" s="173"/>
    </row>
    <row r="7" spans="1:10" ht="18" customHeight="1">
      <c r="A7" s="778" t="str">
        <f>'ENTRADA DE DADOS'!A113</f>
        <v>Enxadão largo c/ cabo de madeira entre 130cm -150 cm</v>
      </c>
      <c r="B7" s="779" t="str">
        <f>'ENTRADA DE DADOS'!B113</f>
        <v>Unidade</v>
      </c>
      <c r="C7" s="780">
        <f>'ENTRADA DE DADOS'!C113</f>
        <v>12</v>
      </c>
      <c r="D7" s="815">
        <f>'ENTRADA DE DADOS'!D113</f>
        <v>1</v>
      </c>
      <c r="E7" s="781">
        <f>'ENTRADA DE DADOS'!E113</f>
        <v>29.3</v>
      </c>
      <c r="F7" s="781">
        <f t="shared" si="0"/>
        <v>29.3</v>
      </c>
      <c r="G7" s="785">
        <f t="shared" si="1"/>
        <v>2.44</v>
      </c>
      <c r="H7" s="248"/>
      <c r="I7" s="89"/>
      <c r="J7" s="173"/>
    </row>
    <row r="8" spans="1:10" ht="18" customHeight="1">
      <c r="A8" s="376" t="str">
        <f>'ENTRADA DE DADOS'!A114</f>
        <v>Foice, cabo 120 cm, cabo de madeira</v>
      </c>
      <c r="B8" s="782" t="str">
        <f>'ENTRADA DE DADOS'!B114</f>
        <v>Unidade</v>
      </c>
      <c r="C8" s="783">
        <f>'ENTRADA DE DADOS'!C114</f>
        <v>12</v>
      </c>
      <c r="D8" s="814">
        <f>'ENTRADA DE DADOS'!D114</f>
        <v>1</v>
      </c>
      <c r="E8" s="784">
        <f>'ENTRADA DE DADOS'!E114</f>
        <v>34.799999999999997</v>
      </c>
      <c r="F8" s="784">
        <f t="shared" si="0"/>
        <v>34.799999999999997</v>
      </c>
      <c r="G8" s="785">
        <f t="shared" si="1"/>
        <v>2.9</v>
      </c>
      <c r="H8" s="248"/>
      <c r="I8" s="89"/>
      <c r="J8" s="173"/>
    </row>
    <row r="9" spans="1:10" ht="18" customHeight="1">
      <c r="A9" s="376" t="str">
        <f>'ENTRADA DE DADOS'!A115</f>
        <v>Balaio de Polipropileno  Nº 6 (45 cm de alt. 60L)</v>
      </c>
      <c r="B9" s="782" t="str">
        <f>'ENTRADA DE DADOS'!B115</f>
        <v>Unidade</v>
      </c>
      <c r="C9" s="783">
        <f>'ENTRADA DE DADOS'!C115</f>
        <v>6</v>
      </c>
      <c r="D9" s="814">
        <f>'ENTRADA DE DADOS'!D115</f>
        <v>2</v>
      </c>
      <c r="E9" s="784">
        <f>'ENTRADA DE DADOS'!E115</f>
        <v>76.100000000000009</v>
      </c>
      <c r="F9" s="784">
        <f t="shared" si="0"/>
        <v>152.20000000000002</v>
      </c>
      <c r="G9" s="785">
        <f t="shared" si="1"/>
        <v>25.37</v>
      </c>
      <c r="H9" s="248"/>
      <c r="I9" s="89"/>
      <c r="J9" s="173"/>
    </row>
    <row r="10" spans="1:10" ht="18" customHeight="1">
      <c r="A10" s="376" t="str">
        <f>'ENTRADA DE DADOS'!A116</f>
        <v>Chibancas de 90 - 100 cm</v>
      </c>
      <c r="B10" s="782" t="str">
        <f>'ENTRADA DE DADOS'!B116</f>
        <v>Unidade</v>
      </c>
      <c r="C10" s="783">
        <f>'ENTRADA DE DADOS'!C116</f>
        <v>12</v>
      </c>
      <c r="D10" s="814">
        <f>'ENTRADA DE DADOS'!D116</f>
        <v>1</v>
      </c>
      <c r="E10" s="784">
        <f>'ENTRADA DE DADOS'!E116</f>
        <v>39.633333333333333</v>
      </c>
      <c r="F10" s="784">
        <f t="shared" si="0"/>
        <v>39.633333333333333</v>
      </c>
      <c r="G10" s="785">
        <f t="shared" si="1"/>
        <v>3.3</v>
      </c>
      <c r="H10" s="248"/>
      <c r="I10" s="89"/>
      <c r="J10" s="173"/>
    </row>
    <row r="11" spans="1:10" ht="18" customHeight="1">
      <c r="A11" s="376" t="str">
        <f>'ENTRADA DE DADOS'!A117</f>
        <v>Forcado reto, arame, 4 dentes cabo de madeira</v>
      </c>
      <c r="B11" s="782" t="str">
        <f>'ENTRADA DE DADOS'!B117</f>
        <v>Unidade</v>
      </c>
      <c r="C11" s="783">
        <f>'ENTRADA DE DADOS'!C117</f>
        <v>12</v>
      </c>
      <c r="D11" s="814">
        <f>'ENTRADA DE DADOS'!D117</f>
        <v>1</v>
      </c>
      <c r="E11" s="784">
        <f>'ENTRADA DE DADOS'!E117</f>
        <v>33.776666666666664</v>
      </c>
      <c r="F11" s="784">
        <f t="shared" si="0"/>
        <v>33.776666666666664</v>
      </c>
      <c r="G11" s="785">
        <f t="shared" si="1"/>
        <v>2.81</v>
      </c>
      <c r="H11" s="248"/>
      <c r="I11" s="89"/>
      <c r="J11" s="173"/>
    </row>
    <row r="12" spans="1:10" ht="18" customHeight="1">
      <c r="A12" s="376" t="str">
        <f>'ENTRADA DE DADOS'!A118</f>
        <v>Pá quadrada, cabo de madeira, 120 cm - 130cm</v>
      </c>
      <c r="B12" s="782" t="str">
        <f>'ENTRADA DE DADOS'!B118</f>
        <v>Unidade</v>
      </c>
      <c r="C12" s="783">
        <f>'ENTRADA DE DADOS'!C118</f>
        <v>12</v>
      </c>
      <c r="D12" s="814">
        <f>'ENTRADA DE DADOS'!D118</f>
        <v>1</v>
      </c>
      <c r="E12" s="784">
        <f>'ENTRADA DE DADOS'!E118</f>
        <v>24.803333333333331</v>
      </c>
      <c r="F12" s="784">
        <f t="shared" si="0"/>
        <v>24.803333333333331</v>
      </c>
      <c r="G12" s="785">
        <f t="shared" si="1"/>
        <v>2.0699999999999998</v>
      </c>
      <c r="H12" s="248"/>
      <c r="I12" s="89"/>
      <c r="J12" s="173"/>
    </row>
    <row r="13" spans="1:10" ht="18" customHeight="1">
      <c r="A13" s="376" t="str">
        <f>'ENTRADA DE DADOS'!A119</f>
        <v>Roçadeira Costal movida a gasolina, potência mínima de 52 cc</v>
      </c>
      <c r="B13" s="782" t="str">
        <f>'ENTRADA DE DADOS'!B119</f>
        <v>Unidade</v>
      </c>
      <c r="C13" s="783">
        <f>'ENTRADA DE DADOS'!C119</f>
        <v>24</v>
      </c>
      <c r="D13" s="814">
        <f>'ENTRADA DE DADOS'!D119</f>
        <v>1.31</v>
      </c>
      <c r="E13" s="784">
        <f>'ENTRADA DE DADOS'!E119</f>
        <v>4337</v>
      </c>
      <c r="F13" s="784">
        <f t="shared" si="0"/>
        <v>5681.47</v>
      </c>
      <c r="G13" s="785">
        <f t="shared" si="1"/>
        <v>236.73</v>
      </c>
      <c r="H13" s="248"/>
      <c r="I13" s="89"/>
      <c r="J13" s="249"/>
    </row>
    <row r="14" spans="1:10" ht="18" customHeight="1">
      <c r="A14" s="769" t="str">
        <f>'ENTRADA DE DADOS'!A120</f>
        <v>Protetor de roçagem urbano, altura de 1,5m</v>
      </c>
      <c r="B14" s="782" t="str">
        <f>'ENTRADA DE DADOS'!B120</f>
        <v>Unidade</v>
      </c>
      <c r="C14" s="783">
        <f>'ENTRADA DE DADOS'!C120</f>
        <v>12</v>
      </c>
      <c r="D14" s="814">
        <f>'ENTRADA DE DADOS'!D120</f>
        <v>1</v>
      </c>
      <c r="E14" s="784">
        <f>'ENTRADA DE DADOS'!E120</f>
        <v>331.96666666666664</v>
      </c>
      <c r="F14" s="784">
        <f t="shared" si="0"/>
        <v>331.96666666666664</v>
      </c>
      <c r="G14" s="785">
        <f t="shared" si="1"/>
        <v>27.66</v>
      </c>
      <c r="H14" s="248"/>
      <c r="I14" s="89"/>
      <c r="J14" s="249"/>
    </row>
    <row r="15" spans="1:10" ht="18" customHeight="1">
      <c r="A15" s="769" t="str">
        <f>'ENTRADA DE DADOS'!A121</f>
        <v>Vassoura Gari, piaçava, mínimo 40 cm</v>
      </c>
      <c r="B15" s="782" t="str">
        <f>'ENTRADA DE DADOS'!B121</f>
        <v>Unidade</v>
      </c>
      <c r="C15" s="783">
        <f>'ENTRADA DE DADOS'!C121</f>
        <v>12</v>
      </c>
      <c r="D15" s="814">
        <f>'ENTRADA DE DADOS'!D121</f>
        <v>1</v>
      </c>
      <c r="E15" s="784">
        <f>'ENTRADA DE DADOS'!E121</f>
        <v>43.8</v>
      </c>
      <c r="F15" s="784">
        <f t="shared" si="0"/>
        <v>43.8</v>
      </c>
      <c r="G15" s="785">
        <f t="shared" si="1"/>
        <v>3.65</v>
      </c>
      <c r="H15" s="248"/>
      <c r="I15" s="89"/>
      <c r="J15" s="249"/>
    </row>
    <row r="16" spans="1:10" ht="18" customHeight="1">
      <c r="A16" s="763" t="str">
        <f>'ENTRADA DE DADOS'!A122</f>
        <v>Soprador de folhas movido à gasolina</v>
      </c>
      <c r="B16" s="764" t="str">
        <f>'ENTRADA DE DADOS'!B122</f>
        <v>Unidade</v>
      </c>
      <c r="C16" s="776">
        <f>'ENTRADA DE DADOS'!C122</f>
        <v>24</v>
      </c>
      <c r="D16" s="816">
        <f>'ENTRADA DE DADOS'!D122</f>
        <v>0.66</v>
      </c>
      <c r="E16" s="765">
        <f>'ENTRADA DE DADOS'!E122</f>
        <v>2385</v>
      </c>
      <c r="F16" s="765">
        <f t="shared" si="0"/>
        <v>1574.1000000000001</v>
      </c>
      <c r="G16" s="785">
        <f t="shared" si="1"/>
        <v>65.59</v>
      </c>
      <c r="H16" s="248"/>
      <c r="I16" s="89"/>
      <c r="J16" s="249"/>
    </row>
    <row r="17" spans="1:10" ht="18" customHeight="1">
      <c r="A17" s="770" t="str">
        <f>'ENTRADA DE DADOS'!A123</f>
        <v>Máquina passador de secante</v>
      </c>
      <c r="B17" s="786" t="str">
        <f>'ENTRADA DE DADOS'!B123</f>
        <v>Unidade</v>
      </c>
      <c r="C17" s="783">
        <f>'ENTRADA DE DADOS'!C123</f>
        <v>24</v>
      </c>
      <c r="D17" s="814">
        <f>'ENTRADA DE DADOS'!D123</f>
        <v>1</v>
      </c>
      <c r="E17" s="784">
        <f>'ENTRADA DE DADOS'!E123</f>
        <v>485.9</v>
      </c>
      <c r="F17" s="784">
        <f t="shared" ref="F17:F19" si="2">D17*E17</f>
        <v>485.9</v>
      </c>
      <c r="G17" s="785">
        <f t="shared" si="1"/>
        <v>20.25</v>
      </c>
      <c r="H17" s="248"/>
      <c r="I17" s="89"/>
      <c r="J17" s="249"/>
    </row>
    <row r="18" spans="1:10" ht="18" customHeight="1">
      <c r="A18" s="770">
        <f>'ENTRADA DE DADOS'!A124</f>
        <v>0</v>
      </c>
      <c r="B18" s="786">
        <f>'ENTRADA DE DADOS'!B124</f>
        <v>0</v>
      </c>
      <c r="C18" s="783">
        <f>'ENTRADA DE DADOS'!C124</f>
        <v>0</v>
      </c>
      <c r="D18" s="814">
        <f>'ENTRADA DE DADOS'!D124</f>
        <v>0</v>
      </c>
      <c r="E18" s="784">
        <f>'ENTRADA DE DADOS'!E124</f>
        <v>0</v>
      </c>
      <c r="F18" s="784">
        <f t="shared" si="2"/>
        <v>0</v>
      </c>
      <c r="G18" s="785">
        <f t="shared" si="1"/>
        <v>0</v>
      </c>
      <c r="H18" s="248"/>
      <c r="I18" s="89"/>
      <c r="J18" s="249"/>
    </row>
    <row r="19" spans="1:10" ht="18" customHeight="1" thickBot="1">
      <c r="A19" s="793">
        <f>'ENTRADA DE DADOS'!A125</f>
        <v>0</v>
      </c>
      <c r="B19" s="794">
        <f>'ENTRADA DE DADOS'!B125</f>
        <v>0</v>
      </c>
      <c r="C19" s="795">
        <f>'ENTRADA DE DADOS'!C125</f>
        <v>0</v>
      </c>
      <c r="D19" s="817">
        <f>'ENTRADA DE DADOS'!D125</f>
        <v>0</v>
      </c>
      <c r="E19" s="796">
        <f>'ENTRADA DE DADOS'!E125</f>
        <v>0</v>
      </c>
      <c r="F19" s="796">
        <f t="shared" si="2"/>
        <v>0</v>
      </c>
      <c r="G19" s="250">
        <f t="shared" si="1"/>
        <v>0</v>
      </c>
      <c r="H19" s="248"/>
      <c r="I19" s="89"/>
      <c r="J19" s="249"/>
    </row>
    <row r="20" spans="1:10" ht="18" customHeight="1">
      <c r="A20" s="1125" t="s">
        <v>25</v>
      </c>
      <c r="B20" s="1126"/>
      <c r="C20" s="1126"/>
      <c r="D20" s="1126"/>
      <c r="E20" s="1127"/>
      <c r="F20" s="771">
        <f>SUM(F4:F19)</f>
        <v>8561.9500000000007</v>
      </c>
      <c r="G20" s="772">
        <f>SUM(G4:G19)</f>
        <v>408.53999999999996</v>
      </c>
      <c r="I20" s="89"/>
      <c r="J20" s="249"/>
    </row>
    <row r="21" spans="1:10" ht="18" customHeight="1">
      <c r="A21" s="1122" t="s">
        <v>156</v>
      </c>
      <c r="B21" s="1123"/>
      <c r="C21" s="1123"/>
      <c r="D21" s="1123"/>
      <c r="E21" s="1124"/>
      <c r="F21" s="773">
        <f>'Uniformes e EPIs'!D20</f>
        <v>0</v>
      </c>
      <c r="G21" s="774">
        <f>-ROUND(G20*F21,2)</f>
        <v>0</v>
      </c>
      <c r="I21" s="89"/>
      <c r="J21" s="249"/>
    </row>
    <row r="22" spans="1:10" ht="20.25" customHeight="1" thickBot="1">
      <c r="A22" s="1119" t="s">
        <v>158</v>
      </c>
      <c r="B22" s="1120"/>
      <c r="C22" s="1120"/>
      <c r="D22" s="1120"/>
      <c r="E22" s="1121"/>
      <c r="F22" s="775"/>
      <c r="G22" s="185">
        <f>SUM(G20:G21)</f>
        <v>408.53999999999996</v>
      </c>
    </row>
    <row r="23" spans="1:10" ht="13.5" thickBot="1">
      <c r="F23" s="251"/>
    </row>
    <row r="24" spans="1:10" ht="17.25" customHeight="1">
      <c r="A24" s="1109" t="s">
        <v>162</v>
      </c>
      <c r="B24" s="1110"/>
      <c r="C24" s="1110"/>
      <c r="D24" s="1110"/>
      <c r="E24" s="252">
        <f>'ENTRADA DE DADOS'!C126</f>
        <v>0.1</v>
      </c>
      <c r="F24" s="253">
        <f>ROUND(F20*E24,2)</f>
        <v>856.2</v>
      </c>
    </row>
    <row r="25" spans="1:10" ht="17.25" customHeight="1">
      <c r="A25" s="1111" t="s">
        <v>163</v>
      </c>
      <c r="B25" s="1112"/>
      <c r="C25" s="1112"/>
      <c r="D25" s="1112"/>
      <c r="E25" s="254"/>
      <c r="F25" s="255">
        <f>ROUND(F24/12,2)</f>
        <v>71.349999999999994</v>
      </c>
    </row>
    <row r="26" spans="1:10" ht="17.25" customHeight="1">
      <c r="A26" s="1111" t="s">
        <v>156</v>
      </c>
      <c r="B26" s="1112"/>
      <c r="C26" s="1112"/>
      <c r="D26" s="1112"/>
      <c r="E26" s="388">
        <f>F21</f>
        <v>0</v>
      </c>
      <c r="F26" s="255">
        <f>-ROUND(F25*E26,2)</f>
        <v>0</v>
      </c>
    </row>
    <row r="27" spans="1:10" s="232" customFormat="1" ht="17.25" customHeight="1" thickBot="1">
      <c r="A27" s="1113" t="s">
        <v>164</v>
      </c>
      <c r="B27" s="1114"/>
      <c r="C27" s="1114"/>
      <c r="D27" s="1114"/>
      <c r="E27" s="1115"/>
      <c r="F27" s="256">
        <f>SUM(F25:F26)</f>
        <v>71.349999999999994</v>
      </c>
    </row>
  </sheetData>
  <sheetProtection password="89AB" sheet="1" objects="1" scenarios="1" formatCells="0"/>
  <protectedRanges>
    <protectedRange sqref="F21 E26" name="Intervalo1"/>
  </protectedRanges>
  <mergeCells count="8">
    <mergeCell ref="A24:D24"/>
    <mergeCell ref="A26:D26"/>
    <mergeCell ref="A25:D25"/>
    <mergeCell ref="A27:E27"/>
    <mergeCell ref="A2:G2"/>
    <mergeCell ref="A22:E22"/>
    <mergeCell ref="A21:E21"/>
    <mergeCell ref="A20:E20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4</vt:i4>
      </vt:variant>
    </vt:vector>
  </HeadingPairs>
  <TitlesOfParts>
    <vt:vector size="15" baseType="lpstr">
      <vt:lpstr>PROPOSTA </vt:lpstr>
      <vt:lpstr>LOTE</vt:lpstr>
      <vt:lpstr>RESUMO VLR FINAL</vt:lpstr>
      <vt:lpstr>ENTRADA DE DADOS</vt:lpstr>
      <vt:lpstr>MO - Operador de roçadeira</vt:lpstr>
      <vt:lpstr>MO - Coletor de resíduos</vt:lpstr>
      <vt:lpstr>MO - Motorista</vt:lpstr>
      <vt:lpstr>Uniformes e EPIs</vt:lpstr>
      <vt:lpstr>Equipamentos</vt:lpstr>
      <vt:lpstr>Insumos</vt:lpstr>
      <vt:lpstr>Veículo</vt:lpstr>
      <vt:lpstr>LOTE!Area_de_impressao</vt:lpstr>
      <vt:lpstr>'PROPOSTA '!Area_de_impressao</vt:lpstr>
      <vt:lpstr>'RESUMO VLR FINAL'!Area_de_impressao</vt:lpstr>
      <vt:lpstr>'Uniformes e EPIs'!Area_de_impressao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2018-08-23T00:34:19Z</dcterms:created>
  <dcterms:modified xsi:type="dcterms:W3CDTF">2023-05-31T11:55:58Z</dcterms:modified>
</cp:coreProperties>
</file>